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5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5850" firstSheet="3" activeTab="6"/>
  </bookViews>
  <sheets>
    <sheet name="CARGO 1." sheetId="1" r:id="rId1"/>
    <sheet name="CARGO 2." sheetId="2" r:id="rId2"/>
    <sheet name="CARGO 3." sheetId="3" r:id="rId3"/>
    <sheet name="CARGO 4." sheetId="4" r:id="rId4"/>
    <sheet name="ANALYSIS" sheetId="5" r:id="rId5"/>
    <sheet name="ROTANA" sheetId="6" r:id="rId6"/>
    <sheet name=" SHABDOMAH" sheetId="7" r:id="rId7"/>
    <sheet name="MAIN DEPOT" sheetId="8" r:id="rId8"/>
    <sheet name="MWANGULU" sheetId="9" r:id="rId9"/>
    <sheet name="CARGO 13" sheetId="10" r:id="rId10"/>
    <sheet name="CARGO 14" sheetId="11" r:id="rId11"/>
    <sheet name="CARGO 15" sheetId="12" r:id="rId12"/>
    <sheet name="CARGO 16" sheetId="13" r:id="rId13"/>
    <sheet name="CARGO 17" sheetId="14" r:id="rId14"/>
    <sheet name="CARGO 18" sheetId="15" r:id="rId15"/>
    <sheet name="SHABDOMA" sheetId="16" r:id="rId16"/>
  </sheets>
  <definedNames/>
  <calcPr fullCalcOnLoad="1"/>
</workbook>
</file>

<file path=xl/sharedStrings.xml><?xml version="1.0" encoding="utf-8"?>
<sst xmlns="http://schemas.openxmlformats.org/spreadsheetml/2006/main" count="739" uniqueCount="195">
  <si>
    <t>DATE</t>
  </si>
  <si>
    <t>SALES</t>
  </si>
  <si>
    <t>INVENTORY</t>
  </si>
  <si>
    <t>BANKED</t>
  </si>
  <si>
    <t>CASH @ HAND</t>
  </si>
  <si>
    <t>UNIT PRICE</t>
  </si>
  <si>
    <t>EXPENSES</t>
  </si>
  <si>
    <t>DETAILS</t>
  </si>
  <si>
    <t>BALANCE</t>
  </si>
  <si>
    <t>CUM.BALANCE</t>
  </si>
  <si>
    <t>SAFINAH PETROLEUM LTD</t>
  </si>
  <si>
    <t>BAL B/F 25.02.2017</t>
  </si>
  <si>
    <t>03.02.17-23.02.17</t>
  </si>
  <si>
    <t>CASH BANKED</t>
  </si>
  <si>
    <t>SALARIES</t>
  </si>
  <si>
    <t>GROSS CASH:</t>
  </si>
  <si>
    <t>SOLD</t>
  </si>
  <si>
    <t xml:space="preserve">19.02.18 </t>
  </si>
  <si>
    <t>JERICANES</t>
  </si>
  <si>
    <t>MWANGULU DEPOT</t>
  </si>
  <si>
    <t>24.02.18</t>
  </si>
  <si>
    <t>25.02.18</t>
  </si>
  <si>
    <t xml:space="preserve">26.02.18 </t>
  </si>
  <si>
    <t>27.02.18</t>
  </si>
  <si>
    <t>STOCK VALUE</t>
  </si>
  <si>
    <t>* N/B</t>
  </si>
  <si>
    <t>MWANGULU</t>
  </si>
  <si>
    <t>rent &amp; transport</t>
  </si>
  <si>
    <t>EXPENCE PARTICULARS</t>
  </si>
  <si>
    <t>BAL B/F 09.03.2018</t>
  </si>
  <si>
    <t>TOTAL</t>
  </si>
  <si>
    <t>TOTALS</t>
  </si>
  <si>
    <t>FROM 01/03</t>
  </si>
  <si>
    <t>CARGO 4</t>
  </si>
  <si>
    <t>CARGO 5</t>
  </si>
  <si>
    <t>CARGO 6</t>
  </si>
  <si>
    <t>CARGO SIX</t>
  </si>
  <si>
    <t>CARGO FIVE</t>
  </si>
  <si>
    <t>BAL B/F 24.03.2018</t>
  </si>
  <si>
    <t>MPESA</t>
  </si>
  <si>
    <t>CARGO 7</t>
  </si>
  <si>
    <t>CARGO SEVEN</t>
  </si>
  <si>
    <t>BAL B/F 08.04.2018</t>
  </si>
  <si>
    <t>T.C</t>
  </si>
  <si>
    <t>abdul</t>
  </si>
  <si>
    <t>CARGO 8</t>
  </si>
  <si>
    <t>CARGO EIGHT</t>
  </si>
  <si>
    <t>BAL B/F 22.04.2018</t>
  </si>
  <si>
    <t>SHORT</t>
  </si>
  <si>
    <t>SALES MWANGULU</t>
  </si>
  <si>
    <t>HAMID SALES</t>
  </si>
  <si>
    <t>MAIN STATION LTRS</t>
  </si>
  <si>
    <t>BALANCE MWANGULU</t>
  </si>
  <si>
    <t>UNBANKED</t>
  </si>
  <si>
    <t>omar</t>
  </si>
  <si>
    <t>david</t>
  </si>
  <si>
    <t>boss</t>
  </si>
  <si>
    <t>CARGO 9</t>
  </si>
  <si>
    <t>CARGO NINE</t>
  </si>
  <si>
    <t>BAL B/F 05.05.2018</t>
  </si>
  <si>
    <t>READING</t>
  </si>
  <si>
    <t>CARGO TEN</t>
  </si>
  <si>
    <t>BAL B/F 17.05.2018</t>
  </si>
  <si>
    <t>CARGO 10</t>
  </si>
  <si>
    <t>CARGO 11</t>
  </si>
  <si>
    <t>CARGO ELEVEN</t>
  </si>
  <si>
    <t>BAL B/F 30.05.2018</t>
  </si>
  <si>
    <t>CARGO 12</t>
  </si>
  <si>
    <t>CARGO TWELVE</t>
  </si>
  <si>
    <t>IN</t>
  </si>
  <si>
    <t>OUT</t>
  </si>
  <si>
    <t xml:space="preserve"> PRICE</t>
  </si>
  <si>
    <t>CASH</t>
  </si>
  <si>
    <t>HAMID MAIN STATION</t>
  </si>
  <si>
    <t>SAFINAH TO SHABDOMA</t>
  </si>
  <si>
    <t>AMOUNT</t>
  </si>
  <si>
    <t>Unbanked Cash C/o Omar</t>
  </si>
  <si>
    <t>Procurement Lamu</t>
  </si>
  <si>
    <t>David Salary (Februrary)</t>
  </si>
  <si>
    <t>David Salary (April)</t>
  </si>
  <si>
    <t>Rent (April)</t>
  </si>
  <si>
    <t>Mpesa To Omar A/c Patrick</t>
  </si>
  <si>
    <t>Abdulkarim Nairobi C/o REA</t>
  </si>
  <si>
    <t>in-House Cheque Abdul Karim C/o REA</t>
  </si>
  <si>
    <t>Mpesa To Omar (Operations)</t>
  </si>
  <si>
    <t>Mpesa To Musingi Shaban C/o Omar</t>
  </si>
  <si>
    <t>Mpesa to Abdulkarim A/c Paradise Boat services</t>
  </si>
  <si>
    <t>Sheria House (CR12)</t>
  </si>
  <si>
    <t>Car Fuel</t>
  </si>
  <si>
    <t>Amir  ETR 10% Kiunga</t>
  </si>
  <si>
    <t>Peter Mwangi ETR 10% Kiunga</t>
  </si>
  <si>
    <t>Mpesa To David</t>
  </si>
  <si>
    <t>Mpesa To Omar</t>
  </si>
  <si>
    <t>Bank Charges</t>
  </si>
  <si>
    <t>Mpesa Transactions</t>
  </si>
  <si>
    <t>PAID</t>
  </si>
  <si>
    <t>Shabdoma</t>
  </si>
  <si>
    <t>Rent (May)</t>
  </si>
  <si>
    <t>Mpesa To Patrick</t>
  </si>
  <si>
    <t>Mpesa To Omar(Shabdoma)</t>
  </si>
  <si>
    <t>Mpesa To Hassan</t>
  </si>
  <si>
    <t xml:space="preserve">Mpesa To Hassan </t>
  </si>
  <si>
    <t>Mpesa To Abdulkarim (Shabdoma)</t>
  </si>
  <si>
    <t>Mr. Omar</t>
  </si>
  <si>
    <t>Directors' weekly advance Salaries</t>
  </si>
  <si>
    <t>Patrick Shabdoma</t>
  </si>
  <si>
    <t>Mpesa To Abdulkarim (Shabdoma Lamu To-Fro)</t>
  </si>
  <si>
    <t>Abulkarim (Withdrawal) Shabdoma Printer</t>
  </si>
  <si>
    <t>Mpesa To Patrick (Shabdoma)</t>
  </si>
  <si>
    <t>Mpesa To Abdulkarim (Shabdoma NCA Facilitation)</t>
  </si>
  <si>
    <t>Mpesa To Abdulkarim (Shabdoma E-citizen)</t>
  </si>
  <si>
    <t>David Salary (June)</t>
  </si>
  <si>
    <t>Transfer To Shabdoma</t>
  </si>
  <si>
    <t>Silverstone Air Services</t>
  </si>
  <si>
    <t>Musa Shabdoma</t>
  </si>
  <si>
    <t>Musa Shabdoma (Advance)</t>
  </si>
  <si>
    <t>Mpesa To Peter Njaraba (Shabdoma)</t>
  </si>
  <si>
    <t>Mpesa To David (Shabdoma) Office Tokens</t>
  </si>
  <si>
    <t>Mpesa To Abdulkarim (Shabdoma) Petty Cash</t>
  </si>
  <si>
    <t>Mpesa To Abdulkarim</t>
  </si>
  <si>
    <t>Mpesa To David (Shabdoma) Office Computer</t>
  </si>
  <si>
    <t xml:space="preserve">Mpesa To Omar Athman </t>
  </si>
  <si>
    <t>Musa's Salary</t>
  </si>
  <si>
    <t>Mpesa To Abdulkarim (Shabdoma Domain)</t>
  </si>
  <si>
    <t>Mpesa To Abdulkarim (Shabdoma Office work)</t>
  </si>
  <si>
    <t>Shabdoma Office Rent (August)</t>
  </si>
  <si>
    <t>House Cheque (Rent July)</t>
  </si>
  <si>
    <t>CHARGE</t>
  </si>
  <si>
    <t>DATES</t>
  </si>
  <si>
    <t>Salary David August</t>
  </si>
  <si>
    <t>Mpesa To James Tenders (Shabdoma)</t>
  </si>
  <si>
    <t>Mpesa To Patrck (Shabdoma)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</si>
  <si>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</si>
  <si>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</si>
  <si>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</si>
  <si>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Salary David September</t>
  </si>
  <si>
    <t>Rent (September)</t>
  </si>
  <si>
    <t>PROFIT/LOSS</t>
  </si>
  <si>
    <t>CASH SALES</t>
  </si>
  <si>
    <t>CUM.SALES</t>
  </si>
  <si>
    <t>OPS EXPENSES</t>
  </si>
  <si>
    <t>COST OF SALES</t>
  </si>
  <si>
    <t>CUM.PROFIT/LOSS</t>
  </si>
  <si>
    <t>CUM.BANKED</t>
  </si>
  <si>
    <t>TOTAL BANKED</t>
  </si>
  <si>
    <t>TOTAL OPS EXPENSES</t>
  </si>
  <si>
    <t>BANK CHARGES</t>
  </si>
  <si>
    <t>TOTAL BALANCES</t>
  </si>
  <si>
    <t>CARGO TWO</t>
  </si>
  <si>
    <t>CARGO THREE</t>
  </si>
  <si>
    <t>PURPOSE</t>
  </si>
  <si>
    <t>SENT  TO/ RECIPIENT</t>
  </si>
  <si>
    <t>Water Transport</t>
  </si>
  <si>
    <t>Omar Athman</t>
  </si>
  <si>
    <t>Nafisa</t>
  </si>
  <si>
    <t>Omar Yusuf</t>
  </si>
  <si>
    <t>Power</t>
  </si>
  <si>
    <t>KPLC</t>
  </si>
  <si>
    <t>Hamid</t>
  </si>
  <si>
    <t>Water</t>
  </si>
  <si>
    <t>Prepared By</t>
  </si>
  <si>
    <t>Checked By</t>
  </si>
  <si>
    <t>BANKED BY</t>
  </si>
  <si>
    <t>Omar</t>
  </si>
  <si>
    <t>David</t>
  </si>
  <si>
    <t>Omar &amp; David</t>
  </si>
  <si>
    <t>Water Debt</t>
  </si>
  <si>
    <t>Abdulkarim</t>
  </si>
  <si>
    <t>Omar/Abdulkarim</t>
  </si>
  <si>
    <t>Transport Cargo 2 &amp; 3</t>
  </si>
  <si>
    <t>Nafisa - Water</t>
  </si>
  <si>
    <t>Davids' Advance</t>
  </si>
  <si>
    <t>"</t>
  </si>
  <si>
    <t>Rent Shabdoma Office</t>
  </si>
  <si>
    <t>Mwalukombe Rent Arrears</t>
  </si>
  <si>
    <t>Approved By</t>
  </si>
  <si>
    <t>Loan to Directors</t>
  </si>
  <si>
    <t>loan to Abdulkarim</t>
  </si>
  <si>
    <t>Director 1</t>
  </si>
  <si>
    <t>Director 2</t>
  </si>
  <si>
    <t>Amount Banked</t>
  </si>
  <si>
    <t xml:space="preserve">Expected Amnt. To be Banked </t>
  </si>
  <si>
    <t>CARGO ONE</t>
  </si>
  <si>
    <t>Profit/Loss</t>
  </si>
  <si>
    <t xml:space="preserve">Cargo Tranport Cost </t>
  </si>
  <si>
    <t xml:space="preserve">Operation Cost &amp; Salaries </t>
  </si>
  <si>
    <t>CARGO FOUR</t>
  </si>
  <si>
    <t>Shabdoma Water</t>
  </si>
  <si>
    <t xml:space="preserve">Loan To Abdulkarim </t>
  </si>
  <si>
    <t>Paid Nafisa</t>
  </si>
  <si>
    <t>Parcel Shabdoma Water</t>
  </si>
  <si>
    <t>ETR Reciept</t>
  </si>
  <si>
    <t>Rapid Connections Account</t>
  </si>
  <si>
    <t>Account</t>
  </si>
  <si>
    <t>Loan To Omar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</si>
</sst>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color indexed="8"/>
      <name val="Aparajita"/>
      <family val="2"/>
    </font>
    <font>
      <b/>
      <sz val="12"/>
      <color indexed="8"/>
      <name val="Aparajita"/>
      <family val="2"/>
    </font>
    <font>
      <u val="single"/>
      <sz val="11"/>
      <color indexed="30"/>
      <name val="Calibri"/>
      <family val="2"/>
    </font>
    <font>
      <sz val="11"/>
      <color indexed="49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6"/>
      <color theme="1"/>
      <name val="Calibri"/>
      <family val="2"/>
    </font>
    <font>
      <sz val="12"/>
      <color theme="1"/>
      <name val="Aparajita"/>
      <family val="2"/>
    </font>
    <font>
      <b/>
      <sz val="12"/>
      <color theme="1"/>
      <name val="Aparajita"/>
      <family val="2"/>
    </font>
    <font>
      <sz val="11"/>
      <color theme="4"/>
      <name val="Calibri"/>
      <family val="2"/>
    </font>
    <font>
      <b/>
      <u val="single"/>
      <sz val="11"/>
      <color theme="1"/>
      <name val="Calibri"/>
      <family val="2"/>
    </font>
    <font>
      <sz val="11"/>
      <color theme="5"/>
      <name val="Calibri"/>
      <family val="2"/>
    </font>
    <font>
      <b/>
      <sz val="11"/>
      <color theme="5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21" borderId="0" xfId="0" applyFill="1" applyAlignment="1">
      <alignment/>
    </xf>
    <xf numFmtId="14" fontId="0" fillId="18" borderId="10" xfId="0" applyNumberForma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9" fillId="18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3" fontId="49" fillId="33" borderId="11" xfId="0" applyNumberFormat="1" applyFont="1" applyFill="1" applyBorder="1" applyAlignment="1">
      <alignment/>
    </xf>
    <xf numFmtId="3" fontId="53" fillId="34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21" borderId="0" xfId="0" applyFont="1" applyFill="1" applyAlignment="1">
      <alignment/>
    </xf>
    <xf numFmtId="1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49" fillId="0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3" fontId="0" fillId="18" borderId="12" xfId="0" applyNumberFormat="1" applyFill="1" applyBorder="1" applyAlignment="1">
      <alignment/>
    </xf>
    <xf numFmtId="3" fontId="49" fillId="18" borderId="12" xfId="0" applyNumberFormat="1" applyFont="1" applyFill="1" applyBorder="1" applyAlignment="1">
      <alignment/>
    </xf>
    <xf numFmtId="3" fontId="53" fillId="34" borderId="12" xfId="0" applyNumberFormat="1" applyFont="1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0" xfId="0" applyBorder="1" applyAlignment="1">
      <alignment/>
    </xf>
    <xf numFmtId="3" fontId="0" fillId="18" borderId="12" xfId="0" applyNumberFormat="1" applyFont="1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0" fontId="0" fillId="18" borderId="12" xfId="0" applyFill="1" applyBorder="1" applyAlignment="1">
      <alignment/>
    </xf>
    <xf numFmtId="14" fontId="49" fillId="33" borderId="13" xfId="0" applyNumberFormat="1" applyFont="1" applyFill="1" applyBorder="1" applyAlignment="1">
      <alignment/>
    </xf>
    <xf numFmtId="3" fontId="49" fillId="33" borderId="13" xfId="0" applyNumberFormat="1" applyFont="1" applyFill="1" applyBorder="1" applyAlignment="1">
      <alignment/>
    </xf>
    <xf numFmtId="3" fontId="54" fillId="34" borderId="13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0" fillId="21" borderId="14" xfId="0" applyFill="1" applyBorder="1" applyAlignment="1">
      <alignment/>
    </xf>
    <xf numFmtId="14" fontId="0" fillId="18" borderId="15" xfId="0" applyNumberFormat="1" applyFill="1" applyBorder="1" applyAlignment="1">
      <alignment/>
    </xf>
    <xf numFmtId="14" fontId="0" fillId="18" borderId="16" xfId="0" applyNumberFormat="1" applyFill="1" applyBorder="1" applyAlignment="1">
      <alignment/>
    </xf>
    <xf numFmtId="14" fontId="49" fillId="33" borderId="14" xfId="0" applyNumberFormat="1" applyFont="1" applyFill="1" applyBorder="1" applyAlignment="1">
      <alignment/>
    </xf>
    <xf numFmtId="3" fontId="53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0" fontId="49" fillId="21" borderId="16" xfId="0" applyFont="1" applyFill="1" applyBorder="1" applyAlignment="1">
      <alignment horizontal="center"/>
    </xf>
    <xf numFmtId="0" fontId="49" fillId="21" borderId="12" xfId="0" applyFont="1" applyFill="1" applyBorder="1" applyAlignment="1">
      <alignment horizontal="center"/>
    </xf>
    <xf numFmtId="0" fontId="54" fillId="21" borderId="19" xfId="0" applyFont="1" applyFill="1" applyBorder="1" applyAlignment="1">
      <alignment horizontal="center"/>
    </xf>
    <xf numFmtId="0" fontId="0" fillId="18" borderId="14" xfId="0" applyFill="1" applyBorder="1" applyAlignment="1">
      <alignment/>
    </xf>
    <xf numFmtId="3" fontId="0" fillId="18" borderId="11" xfId="0" applyNumberFormat="1" applyFill="1" applyBorder="1" applyAlignment="1">
      <alignment/>
    </xf>
    <xf numFmtId="3" fontId="53" fillId="34" borderId="18" xfId="0" applyNumberFormat="1" applyFont="1" applyFill="1" applyBorder="1" applyAlignment="1">
      <alignment/>
    </xf>
    <xf numFmtId="3" fontId="0" fillId="21" borderId="11" xfId="0" applyNumberFormat="1" applyFill="1" applyBorder="1" applyAlignment="1">
      <alignment/>
    </xf>
    <xf numFmtId="3" fontId="53" fillId="21" borderId="18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4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53" fillId="0" borderId="0" xfId="0" applyNumberFormat="1" applyFont="1" applyAlignment="1">
      <alignment/>
    </xf>
    <xf numFmtId="14" fontId="0" fillId="21" borderId="14" xfId="0" applyNumberFormat="1" applyFill="1" applyBorder="1" applyAlignment="1">
      <alignment/>
    </xf>
    <xf numFmtId="0" fontId="55" fillId="0" borderId="0" xfId="0" applyFont="1" applyAlignment="1">
      <alignment/>
    </xf>
    <xf numFmtId="0" fontId="49" fillId="0" borderId="20" xfId="0" applyFont="1" applyFill="1" applyBorder="1" applyAlignment="1">
      <alignment/>
    </xf>
    <xf numFmtId="3" fontId="0" fillId="18" borderId="11" xfId="0" applyNumberFormat="1" applyFont="1" applyFill="1" applyBorder="1" applyAlignment="1">
      <alignment/>
    </xf>
    <xf numFmtId="14" fontId="49" fillId="18" borderId="15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0" fontId="37" fillId="21" borderId="0" xfId="0" applyFont="1" applyFill="1" applyAlignment="1">
      <alignment/>
    </xf>
    <xf numFmtId="14" fontId="49" fillId="18" borderId="0" xfId="0" applyNumberFormat="1" applyFont="1" applyFill="1" applyBorder="1" applyAlignment="1">
      <alignment/>
    </xf>
    <xf numFmtId="3" fontId="49" fillId="18" borderId="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4" fontId="0" fillId="18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18" borderId="11" xfId="0" applyNumberFormat="1" applyFill="1" applyBorder="1" applyAlignment="1">
      <alignment/>
    </xf>
    <xf numFmtId="0" fontId="37" fillId="21" borderId="21" xfId="0" applyFont="1" applyFill="1" applyBorder="1" applyAlignment="1">
      <alignment horizontal="center"/>
    </xf>
    <xf numFmtId="0" fontId="37" fillId="21" borderId="22" xfId="0" applyFont="1" applyFill="1" applyBorder="1" applyAlignment="1">
      <alignment horizontal="center"/>
    </xf>
    <xf numFmtId="0" fontId="54" fillId="21" borderId="23" xfId="0" applyFont="1" applyFill="1" applyBorder="1" applyAlignment="1">
      <alignment horizontal="center"/>
    </xf>
    <xf numFmtId="14" fontId="0" fillId="18" borderId="24" xfId="0" applyNumberFormat="1" applyFont="1" applyFill="1" applyBorder="1" applyAlignment="1">
      <alignment/>
    </xf>
    <xf numFmtId="3" fontId="53" fillId="34" borderId="25" xfId="0" applyNumberFormat="1" applyFont="1" applyFill="1" applyBorder="1" applyAlignment="1">
      <alignment/>
    </xf>
    <xf numFmtId="3" fontId="49" fillId="33" borderId="26" xfId="0" applyNumberFormat="1" applyFont="1" applyFill="1" applyBorder="1" applyAlignment="1">
      <alignment/>
    </xf>
    <xf numFmtId="3" fontId="49" fillId="33" borderId="27" xfId="0" applyNumberFormat="1" applyFont="1" applyFill="1" applyBorder="1" applyAlignment="1">
      <alignment/>
    </xf>
    <xf numFmtId="0" fontId="49" fillId="0" borderId="10" xfId="0" applyFont="1" applyBorder="1" applyAlignment="1">
      <alignment vertical="top" wrapText="1"/>
    </xf>
    <xf numFmtId="3" fontId="49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17" fontId="0" fillId="0" borderId="1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52" applyAlignment="1" applyProtection="1">
      <alignment/>
      <protection/>
    </xf>
    <xf numFmtId="3" fontId="0" fillId="23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53" fillId="36" borderId="10" xfId="0" applyNumberFormat="1" applyFont="1" applyFill="1" applyBorder="1" applyAlignment="1">
      <alignment/>
    </xf>
    <xf numFmtId="3" fontId="0" fillId="36" borderId="12" xfId="0" applyNumberFormat="1" applyFill="1" applyBorder="1" applyAlignment="1">
      <alignment/>
    </xf>
    <xf numFmtId="0" fontId="49" fillId="21" borderId="28" xfId="0" applyFont="1" applyFill="1" applyBorder="1" applyAlignment="1">
      <alignment horizontal="center"/>
    </xf>
    <xf numFmtId="3" fontId="53" fillId="36" borderId="12" xfId="0" applyNumberFormat="1" applyFont="1" applyFill="1" applyBorder="1" applyAlignment="1">
      <alignment/>
    </xf>
    <xf numFmtId="3" fontId="54" fillId="36" borderId="11" xfId="0" applyNumberFormat="1" applyFont="1" applyFill="1" applyBorder="1" applyAlignment="1">
      <alignment/>
    </xf>
    <xf numFmtId="3" fontId="58" fillId="18" borderId="10" xfId="0" applyNumberFormat="1" applyFont="1" applyFill="1" applyBorder="1" applyAlignment="1">
      <alignment/>
    </xf>
    <xf numFmtId="3" fontId="17" fillId="18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59" fillId="0" borderId="10" xfId="0" applyFont="1" applyBorder="1" applyAlignment="1">
      <alignment vertical="center"/>
    </xf>
    <xf numFmtId="3" fontId="0" fillId="0" borderId="29" xfId="0" applyNumberFormat="1" applyFont="1" applyFill="1" applyBorder="1" applyAlignment="1">
      <alignment vertical="top" wrapText="1"/>
    </xf>
    <xf numFmtId="3" fontId="0" fillId="21" borderId="10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0" fontId="49" fillId="21" borderId="28" xfId="0" applyFont="1" applyFill="1" applyBorder="1" applyAlignment="1">
      <alignment horizontal="center"/>
    </xf>
    <xf numFmtId="0" fontId="49" fillId="21" borderId="29" xfId="0" applyFont="1" applyFill="1" applyBorder="1" applyAlignment="1">
      <alignment horizontal="center"/>
    </xf>
    <xf numFmtId="3" fontId="4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60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37" fillId="21" borderId="22" xfId="0" applyFont="1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3" fontId="49" fillId="33" borderId="27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0" fillId="0" borderId="0" xfId="0" applyAlignment="1">
      <alignment/>
    </xf>
    <xf numFmtId="14" fontId="0" fillId="37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53" fillId="37" borderId="0" xfId="0" applyNumberFormat="1" applyFont="1" applyFill="1" applyBorder="1" applyAlignment="1">
      <alignment/>
    </xf>
    <xf numFmtId="3" fontId="0" fillId="37" borderId="30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14" fontId="49" fillId="0" borderId="10" xfId="0" applyNumberFormat="1" applyFont="1" applyBorder="1" applyAlignment="1">
      <alignment/>
    </xf>
    <xf numFmtId="14" fontId="0" fillId="18" borderId="24" xfId="0" applyNumberFormat="1" applyFill="1" applyBorder="1" applyAlignment="1">
      <alignment/>
    </xf>
    <xf numFmtId="4" fontId="49" fillId="0" borderId="3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3" fontId="0" fillId="37" borderId="0" xfId="0" applyNumberFormat="1" applyFill="1" applyBorder="1" applyAlignment="1">
      <alignment/>
    </xf>
    <xf numFmtId="3" fontId="53" fillId="37" borderId="30" xfId="0" applyNumberFormat="1" applyFont="1" applyFill="1" applyBorder="1" applyAlignment="1">
      <alignment/>
    </xf>
    <xf numFmtId="3" fontId="53" fillId="37" borderId="31" xfId="0" applyNumberFormat="1" applyFont="1" applyFill="1" applyBorder="1" applyAlignment="1">
      <alignment/>
    </xf>
    <xf numFmtId="4" fontId="49" fillId="0" borderId="31" xfId="0" applyNumberFormat="1" applyFont="1" applyBorder="1" applyAlignment="1">
      <alignment/>
    </xf>
    <xf numFmtId="14" fontId="49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49" fillId="0" borderId="20" xfId="0" applyNumberFormat="1" applyFont="1" applyBorder="1" applyAlignment="1">
      <alignment/>
    </xf>
    <xf numFmtId="0" fontId="49" fillId="0" borderId="0" xfId="0" applyFont="1" applyBorder="1" applyAlignment="1">
      <alignment/>
    </xf>
    <xf numFmtId="4" fontId="0" fillId="0" borderId="31" xfId="0" applyNumberFormat="1" applyBorder="1" applyAlignment="1">
      <alignment/>
    </xf>
    <xf numFmtId="0" fontId="49" fillId="0" borderId="10" xfId="0" applyFont="1" applyBorder="1" applyAlignment="1">
      <alignment vertical="center"/>
    </xf>
    <xf numFmtId="3" fontId="0" fillId="18" borderId="10" xfId="0" applyNumberFormat="1" applyFill="1" applyBorder="1" applyAlignment="1">
      <alignment/>
    </xf>
    <xf numFmtId="0" fontId="62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14" fontId="49" fillId="0" borderId="17" xfId="0" applyNumberFormat="1" applyFont="1" applyBorder="1" applyAlignment="1">
      <alignment horizontal="center"/>
    </xf>
    <xf numFmtId="14" fontId="49" fillId="0" borderId="33" xfId="0" applyNumberFormat="1" applyFont="1" applyBorder="1" applyAlignment="1">
      <alignment horizontal="center"/>
    </xf>
    <xf numFmtId="14" fontId="49" fillId="0" borderId="15" xfId="0" applyNumberFormat="1" applyFont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46</xdr:row>
      <xdr:rowOff>161925</xdr:rowOff>
    </xdr:from>
    <xdr:to>
      <xdr:col>9</xdr:col>
      <xdr:colOff>542925</xdr:colOff>
      <xdr:row>48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9020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657891011" displayName="Table1657891011" ref="A29:N54" totalsRowShown="0">
  <autoFilter ref="A29:N54"/>
  <tableColumns count="14">
    <tableColumn id="1" name="DATE"/>
    <tableColumn id="2" name="IN"/>
    <tableColumn id="3" name="OUT"/>
    <tableColumn id="4" name=" PRICE"/>
    <tableColumn id="5" name="OPS EXPENSES"/>
    <tableColumn id="14" name="COST OF SALES"/>
    <tableColumn id="6" name="CASH SALES"/>
    <tableColumn id="13" name="CUM.SALES"/>
    <tableColumn id="7" name="BANKED"/>
    <tableColumn id="8" name="CUM.BALANCE"/>
    <tableColumn id="9" name="BALANCE"/>
    <tableColumn id="10" name="CHARGE"/>
    <tableColumn id="11" name="PROFIT/LOSS"/>
    <tableColumn id="15" name="CUM.PROFIT/LOS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4" name="Table165" displayName="Table165" ref="A85:I105" totalsRowShown="0">
  <autoFilter ref="A85:I105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le1657" displayName="Table1657" ref="A114:I134" totalsRowShown="0">
  <autoFilter ref="A114:I134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le16578" displayName="Table16578" ref="A143:I160" totalsRowShown="0">
  <autoFilter ref="A143:I160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le165789" displayName="Table165789" ref="A169:I188" totalsRowShown="0">
  <autoFilter ref="A169:I188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le16578910" displayName="Table16578910" ref="A197:I214" totalsRowShown="0">
  <autoFilter ref="A197:I214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1" name="Table165789101112" displayName="Table165789101112" ref="A222:I239" totalsRowShown="0">
  <autoFilter ref="A222:I239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3" name="Table165789101114" displayName="Table165789101114" ref="B24:J43" totalsRowShown="0">
  <autoFilter ref="B24:J43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4" name="Table16578910111315" displayName="Table16578910111315" ref="B3:J19" totalsRowShown="0">
  <autoFilter ref="B3:J19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7" name="Table165789101118" displayName="Table165789101118" ref="B24:J42" totalsRowShown="0">
  <autoFilter ref="B24:J42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8" name="Table16578910111319" displayName="Table16578910111319" ref="B3:J19" totalsRowShown="0">
  <autoFilter ref="B3:J19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Table165789101113" displayName="Table165789101113" ref="A3:J24" totalsRowShown="0">
  <autoFilter ref="A3:J24"/>
  <tableColumns count="10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  <tableColumn id="10" name="CHARG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5" name="Table165789101116" displayName="Table165789101116" ref="B26:J47" totalsRowShown="0">
  <autoFilter ref="B26:J47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16" name="Table16578910111317" displayName="Table16578910111317" ref="B3:J21" totalsRowShown="0">
  <autoFilter ref="B3:J21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9" name="Table165789101120" displayName="Table165789101120" ref="B26:J47" totalsRowShown="0">
  <autoFilter ref="B26:J47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0" name="Table16578910111321" displayName="Table16578910111321" ref="B3:J21" totalsRowShown="0">
  <autoFilter ref="B3:J21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1" name="Table165789101122" displayName="Table165789101122" ref="B26:J47" totalsRowShown="0">
  <autoFilter ref="B26:J47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16578910111323" displayName="Table16578910111323" ref="B3:J21" totalsRowShown="0">
  <autoFilter ref="B3:J21"/>
  <tableColumns count="9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3" name="Table165789101124" displayName="Table165789101124" ref="B26:K47" totalsRowShown="0">
  <autoFilter ref="B26:K47"/>
  <tableColumns count="10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  <tableColumn id="10" name="CHARGE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4" name="Table16578910111325" displayName="Table16578910111325" ref="B3:K21" totalsRowShown="0">
  <autoFilter ref="B3:K21"/>
  <tableColumns count="10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  <tableColumn id="10" name="CHAR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5" name="Table165789101126" displayName="Table165789101126" ref="A29:N54" totalsRowShown="0">
  <autoFilter ref="A29:N54"/>
  <tableColumns count="14">
    <tableColumn id="1" name="DATE"/>
    <tableColumn id="2" name="IN"/>
    <tableColumn id="3" name="OUT"/>
    <tableColumn id="4" name=" PRICE"/>
    <tableColumn id="5" name="OPS EXPENSES"/>
    <tableColumn id="14" name="COST OF SALES"/>
    <tableColumn id="6" name="CASH SALES"/>
    <tableColumn id="13" name="CUM.SALES"/>
    <tableColumn id="7" name="BANKED"/>
    <tableColumn id="8" name="CUM.BANKED"/>
    <tableColumn id="9" name="BALANCE"/>
    <tableColumn id="10" name="CHARGE"/>
    <tableColumn id="11" name="PROFIT/LOSS"/>
    <tableColumn id="15" name="CUM.PROFIT/LOS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6" name="Table16578910111327" displayName="Table16578910111327" ref="A3:J24" totalsRowShown="0">
  <autoFilter ref="A3:J24"/>
  <tableColumns count="10">
    <tableColumn id="1" name="DATE"/>
    <tableColumn id="2" name="IN"/>
    <tableColumn id="3" name="OUT"/>
    <tableColumn id="4" name=" PRICE"/>
    <tableColumn id="5" name="EXPENSES"/>
    <tableColumn id="6" name="CASH"/>
    <tableColumn id="7" name="BANKED"/>
    <tableColumn id="8" name="CUM.BALANCE"/>
    <tableColumn id="9" name="BALANCE"/>
    <tableColumn id="10" name="CHAR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7" name="Table16578910112628" displayName="Table16578910112628" ref="A2:N20" totalsRowShown="0">
  <autoFilter ref="A2:N20"/>
  <tableColumns count="14">
    <tableColumn id="1" name="DATE"/>
    <tableColumn id="2" name="IN"/>
    <tableColumn id="3" name="OUT"/>
    <tableColumn id="4" name=" PRICE"/>
    <tableColumn id="5" name="OPS EXPENSES"/>
    <tableColumn id="14" name="COST OF SALES"/>
    <tableColumn id="6" name="CASH SALES"/>
    <tableColumn id="13" name="CUM.SALES"/>
    <tableColumn id="7" name="BANKED"/>
    <tableColumn id="8" name="CUM.BANKED"/>
    <tableColumn id="9" name="BALANCE"/>
    <tableColumn id="10" name="CHARGE"/>
    <tableColumn id="11" name="PROFIT/LOSS"/>
    <tableColumn id="15" name="CUM.PROFIT/LOS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8" name="Table1657891011262829" displayName="Table1657891011262829" ref="A2:N24" totalsRowShown="0">
  <autoFilter ref="A2:N24"/>
  <tableColumns count="14">
    <tableColumn id="1" name="DATE"/>
    <tableColumn id="2" name="IN"/>
    <tableColumn id="3" name="OUT"/>
    <tableColumn id="4" name=" PRICE"/>
    <tableColumn id="5" name="OPS EXPENSES"/>
    <tableColumn id="14" name="COST OF SALES"/>
    <tableColumn id="6" name="CASH SALES"/>
    <tableColumn id="13" name="CUM.SALES"/>
    <tableColumn id="7" name="BANKED"/>
    <tableColumn id="8" name="CUM.BANKED"/>
    <tableColumn id="9" name="BALANCE"/>
    <tableColumn id="10" name="CHARGE"/>
    <tableColumn id="11" name="PROFIT/LOSS"/>
    <tableColumn id="15" name="CUM.PROFIT/LOS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2:J21" totalsRowShown="0">
  <autoFilter ref="A2:J21"/>
  <tableColumns count="10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  <tableColumn id="10" name="DETAIL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A30:I53" totalsRowShown="0">
  <autoFilter ref="A30:I53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16" displayName="Table16" ref="A58:I80" totalsRowShown="0">
  <autoFilter ref="A58:I80"/>
  <tableColumns count="9">
    <tableColumn id="1" name="DATE"/>
    <tableColumn id="2" name="INVENTORY"/>
    <tableColumn id="3" name="SALES"/>
    <tableColumn id="4" name="UNIT PRICE"/>
    <tableColumn id="5" name="EXPENSES"/>
    <tableColumn id="6" name="CASH @ HAND"/>
    <tableColumn id="7" name="BANKED"/>
    <tableColumn id="8" name="CUM.BALANCE"/>
    <tableColumn id="9" name="BAL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table" Target="../tables/table2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table" Target="../tables/table12.xml" /><Relationship Id="rId7" Type="http://schemas.openxmlformats.org/officeDocument/2006/relationships/table" Target="../tables/table13.xml" /><Relationship Id="rId8" Type="http://schemas.openxmlformats.org/officeDocument/2006/relationships/table" Target="../tables/table14.xml" /><Relationship Id="rId9" Type="http://schemas.openxmlformats.org/officeDocument/2006/relationships/table" Target="../tables/table15.xml" /><Relationship Id="rId10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N244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11.00390625" style="0" customWidth="1"/>
    <col min="2" max="2" width="7.00390625" style="0" customWidth="1"/>
    <col min="3" max="3" width="9.00390625" style="0" customWidth="1"/>
    <col min="4" max="4" width="12.00390625" style="0" customWidth="1"/>
    <col min="5" max="5" width="15.421875" style="0" customWidth="1"/>
    <col min="6" max="6" width="16.8515625" style="0" customWidth="1"/>
    <col min="7" max="7" width="13.421875" style="0" customWidth="1"/>
    <col min="8" max="8" width="16.7109375" style="0" customWidth="1"/>
    <col min="9" max="9" width="13.140625" style="0" customWidth="1"/>
    <col min="10" max="10" width="16.140625" style="0" customWidth="1"/>
    <col min="11" max="11" width="15.00390625" style="0" customWidth="1"/>
    <col min="12" max="12" width="13.28125" style="0" customWidth="1"/>
    <col min="13" max="13" width="12.28125" style="0" customWidth="1"/>
    <col min="14" max="14" width="19.140625" style="0" customWidth="1"/>
  </cols>
  <sheetData>
    <row r="2" spans="2:8" ht="18.75">
      <c r="B2" s="142" t="s">
        <v>26</v>
      </c>
      <c r="C2" s="142"/>
      <c r="D2" s="142"/>
      <c r="E2" s="142"/>
      <c r="F2" s="142"/>
      <c r="G2" s="142"/>
      <c r="H2" s="142"/>
    </row>
    <row r="3" spans="1:10" ht="15">
      <c r="A3" s="44" t="s">
        <v>0</v>
      </c>
      <c r="B3" s="45" t="s">
        <v>69</v>
      </c>
      <c r="C3" s="45" t="s">
        <v>70</v>
      </c>
      <c r="D3" s="45" t="s">
        <v>71</v>
      </c>
      <c r="E3" s="45" t="s">
        <v>6</v>
      </c>
      <c r="F3" s="45" t="s">
        <v>72</v>
      </c>
      <c r="G3" s="45" t="s">
        <v>3</v>
      </c>
      <c r="H3" s="45" t="s">
        <v>9</v>
      </c>
      <c r="I3" s="46" t="s">
        <v>8</v>
      </c>
      <c r="J3" s="98" t="s">
        <v>127</v>
      </c>
    </row>
    <row r="4" spans="1:10" ht="15">
      <c r="A4" s="56"/>
      <c r="B4" s="28"/>
      <c r="C4" s="28"/>
      <c r="D4" s="28">
        <v>109</v>
      </c>
      <c r="E4" s="50"/>
      <c r="F4" s="50">
        <f>'CARGO 1.'!$D4*'CARGO 1.'!$B4</f>
        <v>0</v>
      </c>
      <c r="G4" s="50"/>
      <c r="H4" s="50">
        <f>'CARGO 1.'!$F4-'CARGO 1.'!$E4</f>
        <v>0</v>
      </c>
      <c r="I4" s="51">
        <f>'CARGO 1.'!$H4-'CARGO 1.'!$G4</f>
        <v>0</v>
      </c>
      <c r="J4" s="97"/>
    </row>
    <row r="5" spans="1:13" ht="15">
      <c r="A5" s="39">
        <v>43357</v>
      </c>
      <c r="B5" s="3">
        <v>0</v>
      </c>
      <c r="C5" s="3">
        <v>0</v>
      </c>
      <c r="D5" s="68">
        <f>20*111</f>
        <v>2220</v>
      </c>
      <c r="E5" s="31"/>
      <c r="F5" s="3">
        <f>'CARGO 1.'!$C5*'CARGO 1.'!$D5</f>
        <v>0</v>
      </c>
      <c r="G5" s="31"/>
      <c r="H5" s="3">
        <f>'CARGO 1.'!$G5</f>
        <v>0</v>
      </c>
      <c r="I5" s="42">
        <f>'CARGO 1.'!$F5-'CARGO 1.'!$E5-'CARGO 1.'!$G5</f>
        <v>0</v>
      </c>
      <c r="J5" s="95"/>
      <c r="K5" s="50">
        <f>F5-G6</f>
        <v>0</v>
      </c>
      <c r="M5" s="93"/>
    </row>
    <row r="6" spans="1:10" ht="15">
      <c r="A6" s="39">
        <v>43358</v>
      </c>
      <c r="B6" s="3">
        <v>0</v>
      </c>
      <c r="C6" s="25">
        <v>0</v>
      </c>
      <c r="D6" s="68">
        <f aca="true" t="shared" si="0" ref="D6:D21">20*111</f>
        <v>2220</v>
      </c>
      <c r="E6" s="30"/>
      <c r="F6" s="3">
        <f>'CARGO 1.'!$C6*'CARGO 1.'!$D6</f>
        <v>0</v>
      </c>
      <c r="G6" s="31"/>
      <c r="H6" s="3">
        <f>H5+'CARGO 1.'!$G6</f>
        <v>0</v>
      </c>
      <c r="I6" s="42">
        <f>I5+'CARGO 1.'!$F6-'CARGO 1.'!$E6-'CARGO 1.'!$G6</f>
        <v>0</v>
      </c>
      <c r="J6" s="95"/>
    </row>
    <row r="7" spans="1:10" ht="15">
      <c r="A7" s="39">
        <v>43359</v>
      </c>
      <c r="B7" s="3">
        <v>0</v>
      </c>
      <c r="C7" s="3">
        <v>0</v>
      </c>
      <c r="D7" s="68">
        <f t="shared" si="0"/>
        <v>2220</v>
      </c>
      <c r="E7" s="3"/>
      <c r="F7" s="3">
        <f>'CARGO 1.'!$C7*'CARGO 1.'!$D7</f>
        <v>0</v>
      </c>
      <c r="G7" s="31"/>
      <c r="H7" s="3">
        <f>H6+'CARGO 1.'!$G7</f>
        <v>0</v>
      </c>
      <c r="I7" s="42">
        <f>I6+'CARGO 1.'!$F7-'CARGO 1.'!$E7-'CARGO 1.'!$G7</f>
        <v>0</v>
      </c>
      <c r="J7" s="95"/>
    </row>
    <row r="8" spans="1:12" ht="15">
      <c r="A8" s="39">
        <v>43360</v>
      </c>
      <c r="B8" s="3">
        <v>0</v>
      </c>
      <c r="C8" s="3">
        <v>0</v>
      </c>
      <c r="D8" s="68">
        <f t="shared" si="0"/>
        <v>2220</v>
      </c>
      <c r="E8" s="3"/>
      <c r="F8" s="3">
        <f>'CARGO 1.'!$C8*'CARGO 1.'!$D8</f>
        <v>0</v>
      </c>
      <c r="G8" s="3"/>
      <c r="H8" s="3">
        <f>H7+'CARGO 1.'!$G8</f>
        <v>0</v>
      </c>
      <c r="I8" s="42">
        <f>I7+'CARGO 1.'!$F8-'CARGO 1.'!$E8-'CARGO 1.'!$G8</f>
        <v>0</v>
      </c>
      <c r="J8" s="96"/>
      <c r="L8" s="20"/>
    </row>
    <row r="9" spans="1:10" ht="15">
      <c r="A9" s="39">
        <v>43361</v>
      </c>
      <c r="B9" s="3">
        <v>0</v>
      </c>
      <c r="C9" s="3">
        <v>0</v>
      </c>
      <c r="D9" s="68">
        <f t="shared" si="0"/>
        <v>2220</v>
      </c>
      <c r="E9" s="3"/>
      <c r="F9" s="3">
        <f>'CARGO 1.'!$C9*'CARGO 1.'!$D9</f>
        <v>0</v>
      </c>
      <c r="G9" s="31"/>
      <c r="H9" s="3">
        <f>H8+'CARGO 1.'!$G9</f>
        <v>0</v>
      </c>
      <c r="I9" s="42">
        <f>I8+'CARGO 1.'!$F9-'CARGO 1.'!$E9-'CARGO 1.'!$G9</f>
        <v>0</v>
      </c>
      <c r="J9" s="96"/>
    </row>
    <row r="10" spans="1:11" ht="15">
      <c r="A10" s="39">
        <v>43362</v>
      </c>
      <c r="B10" s="3">
        <v>0</v>
      </c>
      <c r="C10" s="3">
        <v>0</v>
      </c>
      <c r="D10" s="68">
        <f t="shared" si="0"/>
        <v>2220</v>
      </c>
      <c r="E10" s="3"/>
      <c r="F10" s="3">
        <f>'CARGO 1.'!$C10*'CARGO 1.'!$D10</f>
        <v>0</v>
      </c>
      <c r="G10" s="31"/>
      <c r="H10" s="3">
        <f>H9+'CARGO 1.'!$G10</f>
        <v>0</v>
      </c>
      <c r="I10" s="42">
        <f>I9+'CARGO 1.'!$F10-'CARGO 1.'!$E10-'CARGO 1.'!$G10</f>
        <v>0</v>
      </c>
      <c r="J10" s="96"/>
      <c r="K10" s="20"/>
    </row>
    <row r="11" spans="1:11" ht="15">
      <c r="A11" s="39">
        <v>43363</v>
      </c>
      <c r="B11" s="3">
        <v>0</v>
      </c>
      <c r="C11" s="3">
        <v>0</v>
      </c>
      <c r="D11" s="68">
        <f t="shared" si="0"/>
        <v>2220</v>
      </c>
      <c r="E11" s="3"/>
      <c r="F11" s="3">
        <f>'CARGO 1.'!$C11*'CARGO 1.'!$D11</f>
        <v>0</v>
      </c>
      <c r="G11" s="31"/>
      <c r="H11" s="3">
        <f>H10+'CARGO 1.'!$G11</f>
        <v>0</v>
      </c>
      <c r="I11" s="42">
        <f>I10+'CARGO 1.'!$F11-'CARGO 1.'!$E11-'CARGO 1.'!$G11</f>
        <v>0</v>
      </c>
      <c r="J11" s="96"/>
      <c r="K11" s="20"/>
    </row>
    <row r="12" spans="1:11" ht="15">
      <c r="A12" s="39">
        <v>43364</v>
      </c>
      <c r="B12" s="3">
        <v>0</v>
      </c>
      <c r="C12" s="3">
        <v>0</v>
      </c>
      <c r="D12" s="68">
        <f t="shared" si="0"/>
        <v>2220</v>
      </c>
      <c r="E12" s="3"/>
      <c r="F12" s="3">
        <f>'CARGO 1.'!$C12*'CARGO 1.'!$D12</f>
        <v>0</v>
      </c>
      <c r="G12" s="102"/>
      <c r="H12" s="3">
        <f>H11+'CARGO 1.'!$G12</f>
        <v>0</v>
      </c>
      <c r="I12" s="42">
        <f>I11+'CARGO 1.'!$F12-'CARGO 1.'!$E12-'CARGO 1.'!$G12</f>
        <v>0</v>
      </c>
      <c r="J12" s="96"/>
      <c r="K12" s="20"/>
    </row>
    <row r="13" spans="1:13" ht="15">
      <c r="A13" s="39">
        <v>43365</v>
      </c>
      <c r="B13" s="3">
        <v>0</v>
      </c>
      <c r="C13" s="3">
        <v>0</v>
      </c>
      <c r="D13" s="68">
        <f t="shared" si="0"/>
        <v>2220</v>
      </c>
      <c r="E13" s="3"/>
      <c r="F13" s="3">
        <f>'CARGO 1.'!$C13*'CARGO 1.'!$D13</f>
        <v>0</v>
      </c>
      <c r="G13" s="31"/>
      <c r="H13" s="3">
        <f>H12+'CARGO 1.'!$G13</f>
        <v>0</v>
      </c>
      <c r="I13" s="42">
        <f>I12+'CARGO 1.'!$F13-'CARGO 1.'!$E13-'CARGO 1.'!$G13</f>
        <v>0</v>
      </c>
      <c r="J13" s="96"/>
      <c r="K13" s="20"/>
      <c r="M13" s="92"/>
    </row>
    <row r="14" spans="1:11" ht="15">
      <c r="A14" s="39">
        <v>43366</v>
      </c>
      <c r="B14" s="3">
        <v>0</v>
      </c>
      <c r="C14" s="3">
        <v>0</v>
      </c>
      <c r="D14" s="68">
        <f t="shared" si="0"/>
        <v>2220</v>
      </c>
      <c r="E14" s="3"/>
      <c r="F14" s="3">
        <f>'CARGO 1.'!$C14*'CARGO 1.'!$D14</f>
        <v>0</v>
      </c>
      <c r="G14" s="31"/>
      <c r="H14" s="3">
        <f>H13+'CARGO 1.'!$G14</f>
        <v>0</v>
      </c>
      <c r="I14" s="42">
        <f>I13+'CARGO 1.'!$F14-'CARGO 1.'!$E14-'CARGO 1.'!$G14</f>
        <v>0</v>
      </c>
      <c r="J14" s="96"/>
      <c r="K14" s="20"/>
    </row>
    <row r="15" spans="1:10" ht="15">
      <c r="A15" s="39">
        <v>43367</v>
      </c>
      <c r="B15" s="3">
        <v>20</v>
      </c>
      <c r="C15" s="3">
        <v>5</v>
      </c>
      <c r="D15" s="68">
        <f t="shared" si="0"/>
        <v>2220</v>
      </c>
      <c r="E15" s="3"/>
      <c r="F15" s="3">
        <f>'CARGO 1.'!$C15*'CARGO 1.'!$D15</f>
        <v>11100</v>
      </c>
      <c r="G15" s="31">
        <v>11033</v>
      </c>
      <c r="H15" s="3">
        <f>H14+'CARGO 1.'!$G15</f>
        <v>11033</v>
      </c>
      <c r="I15" s="42">
        <f>I14+'CARGO 1.'!$F15-'CARGO 1.'!$E15-'CARGO 1.'!$G15</f>
        <v>67</v>
      </c>
      <c r="J15" s="96">
        <v>67</v>
      </c>
    </row>
    <row r="16" spans="1:10" ht="15">
      <c r="A16" s="39">
        <v>43368</v>
      </c>
      <c r="B16" s="3">
        <f>B15-C15+10</f>
        <v>25</v>
      </c>
      <c r="C16" s="3">
        <v>18</v>
      </c>
      <c r="D16" s="68">
        <f t="shared" si="0"/>
        <v>2220</v>
      </c>
      <c r="E16" s="3"/>
      <c r="F16" s="3">
        <f>'CARGO 1.'!$C16*'CARGO 1.'!$D16</f>
        <v>39960</v>
      </c>
      <c r="G16" s="3">
        <f>17693+7664+50+9894</f>
        <v>35301</v>
      </c>
      <c r="H16" s="3">
        <f>H15+'CARGO 1.'!$G16</f>
        <v>46334</v>
      </c>
      <c r="I16" s="42">
        <f>I15+'CARGO 1.'!$F16-'CARGO 1.'!$E16-'CARGO 1.'!$G16</f>
        <v>4726</v>
      </c>
      <c r="J16" s="96">
        <f>56+56+67</f>
        <v>179</v>
      </c>
    </row>
    <row r="17" spans="1:10" ht="15">
      <c r="A17" s="39">
        <v>43369</v>
      </c>
      <c r="B17" s="3">
        <f aca="true" t="shared" si="1" ref="B17:B22">B16-C16</f>
        <v>7</v>
      </c>
      <c r="C17" s="3"/>
      <c r="D17" s="68">
        <f t="shared" si="0"/>
        <v>2220</v>
      </c>
      <c r="E17" s="3"/>
      <c r="F17" s="3">
        <f>'CARGO 1.'!$C17*'CARGO 1.'!$D17</f>
        <v>0</v>
      </c>
      <c r="G17" s="31"/>
      <c r="H17" s="3">
        <f>H16+'CARGO 1.'!$G17</f>
        <v>46334</v>
      </c>
      <c r="I17" s="42">
        <f>I16+'CARGO 1.'!$F17-'CARGO 1.'!$E17-'CARGO 1.'!$G17</f>
        <v>4726</v>
      </c>
      <c r="J17" s="96"/>
    </row>
    <row r="18" spans="1:10" ht="15">
      <c r="A18" s="39">
        <v>43370</v>
      </c>
      <c r="B18" s="3">
        <f t="shared" si="1"/>
        <v>7</v>
      </c>
      <c r="C18" s="3"/>
      <c r="D18" s="68">
        <f t="shared" si="0"/>
        <v>2220</v>
      </c>
      <c r="E18" s="3"/>
      <c r="F18" s="3">
        <f>'CARGO 1.'!$C18*'CARGO 1.'!$D18</f>
        <v>0</v>
      </c>
      <c r="G18" s="31"/>
      <c r="H18" s="3">
        <f>H17+'CARGO 1.'!$G18</f>
        <v>46334</v>
      </c>
      <c r="I18" s="42">
        <f>I17+'CARGO 1.'!$F18-'CARGO 1.'!$E18-'CARGO 1.'!$G18</f>
        <v>4726</v>
      </c>
      <c r="J18" s="96"/>
    </row>
    <row r="19" spans="1:10" ht="15">
      <c r="A19" s="39">
        <v>43371</v>
      </c>
      <c r="B19" s="3">
        <f t="shared" si="1"/>
        <v>7</v>
      </c>
      <c r="C19" s="3"/>
      <c r="D19" s="68">
        <f t="shared" si="0"/>
        <v>2220</v>
      </c>
      <c r="E19" s="3"/>
      <c r="F19" s="3">
        <f>'CARGO 1.'!$C19*'CARGO 1.'!$D19</f>
        <v>0</v>
      </c>
      <c r="G19" s="31"/>
      <c r="H19" s="3">
        <f>H18+'CARGO 1.'!$G19</f>
        <v>46334</v>
      </c>
      <c r="I19" s="42">
        <f>I18+'CARGO 1.'!$F19-'CARGO 1.'!$E19-'CARGO 1.'!$G19</f>
        <v>4726</v>
      </c>
      <c r="J19" s="96"/>
    </row>
    <row r="20" spans="1:10" ht="15">
      <c r="A20" s="39">
        <v>43372</v>
      </c>
      <c r="B20" s="3">
        <f t="shared" si="1"/>
        <v>7</v>
      </c>
      <c r="C20" s="3"/>
      <c r="D20" s="68">
        <f t="shared" si="0"/>
        <v>2220</v>
      </c>
      <c r="E20" s="3"/>
      <c r="F20" s="3"/>
      <c r="G20" s="31"/>
      <c r="H20" s="3">
        <f>H19+'CARGO 1.'!$G20</f>
        <v>46334</v>
      </c>
      <c r="I20" s="42">
        <f>I19+'CARGO 1.'!$F20-'CARGO 1.'!$E20-'CARGO 1.'!$G20</f>
        <v>4726</v>
      </c>
      <c r="J20" s="96"/>
    </row>
    <row r="21" spans="1:10" ht="15">
      <c r="A21" s="39">
        <v>43373</v>
      </c>
      <c r="B21" s="3">
        <f t="shared" si="1"/>
        <v>7</v>
      </c>
      <c r="C21" s="3"/>
      <c r="D21" s="68">
        <f t="shared" si="0"/>
        <v>2220</v>
      </c>
      <c r="E21" s="3"/>
      <c r="F21" s="3"/>
      <c r="G21" s="31"/>
      <c r="H21" s="3">
        <f>H20+'CARGO 1.'!$G21</f>
        <v>46334</v>
      </c>
      <c r="I21" s="42">
        <f>I20+'CARGO 1.'!$F21-'CARGO 1.'!$E21-'CARGO 1.'!$G21</f>
        <v>4726</v>
      </c>
      <c r="J21" s="96"/>
    </row>
    <row r="22" spans="1:10" ht="15">
      <c r="A22" s="39">
        <v>43374</v>
      </c>
      <c r="B22" s="3">
        <f t="shared" si="1"/>
        <v>7</v>
      </c>
      <c r="C22" s="3"/>
      <c r="D22" s="70"/>
      <c r="E22" s="3"/>
      <c r="F22" s="3"/>
      <c r="G22" s="31"/>
      <c r="H22" s="3"/>
      <c r="I22" s="42"/>
      <c r="J22" s="96"/>
    </row>
    <row r="23" spans="1:10" ht="15">
      <c r="A23" s="39"/>
      <c r="B23" s="59"/>
      <c r="C23" s="3"/>
      <c r="D23" s="70"/>
      <c r="E23" s="3"/>
      <c r="F23" s="3">
        <f>'CARGO 1.'!$C23*'CARGO 1.'!$D23</f>
        <v>0</v>
      </c>
      <c r="G23" s="3"/>
      <c r="H23" s="3"/>
      <c r="I23" s="42"/>
      <c r="J23" s="96"/>
    </row>
    <row r="24" spans="1:10" ht="15">
      <c r="A24" s="15"/>
      <c r="B24" s="15"/>
      <c r="C24" s="15">
        <f>SUM(C5:C21)</f>
        <v>23</v>
      </c>
      <c r="D24" s="15"/>
      <c r="E24" s="15">
        <f>SUM(E5:E21)</f>
        <v>0</v>
      </c>
      <c r="F24" s="15">
        <f>SUM(F5:F21)</f>
        <v>51060</v>
      </c>
      <c r="G24" s="15">
        <f>SUM(G5:G21)</f>
        <v>46334</v>
      </c>
      <c r="H24" s="15"/>
      <c r="I24" s="15"/>
      <c r="J24" s="15">
        <f>SUM(J5:J19)</f>
        <v>246</v>
      </c>
    </row>
    <row r="25" spans="1:10" ht="15">
      <c r="A25" s="63"/>
      <c r="B25" s="64"/>
      <c r="C25" s="64"/>
      <c r="D25" s="64"/>
      <c r="E25" s="64"/>
      <c r="F25" s="64"/>
      <c r="G25" s="64"/>
      <c r="H25" s="64"/>
      <c r="I25" s="65"/>
      <c r="J25" s="65">
        <f>I19-J24</f>
        <v>4480</v>
      </c>
    </row>
    <row r="26" spans="5:10" ht="15">
      <c r="E26" s="23"/>
      <c r="I26" s="20"/>
      <c r="J26" s="20"/>
    </row>
    <row r="27" spans="3:7" ht="15">
      <c r="C27" s="20"/>
      <c r="E27" s="20"/>
      <c r="F27" s="20"/>
      <c r="G27" s="20"/>
    </row>
    <row r="28" spans="2:8" ht="18.75">
      <c r="B28" s="142" t="s">
        <v>73</v>
      </c>
      <c r="C28" s="142"/>
      <c r="D28" s="142"/>
      <c r="E28" s="142"/>
      <c r="F28" s="142"/>
      <c r="G28" s="142"/>
      <c r="H28" s="142"/>
    </row>
    <row r="29" spans="1:14" ht="15">
      <c r="A29" s="44" t="s">
        <v>0</v>
      </c>
      <c r="B29" s="45" t="s">
        <v>69</v>
      </c>
      <c r="C29" s="45" t="s">
        <v>70</v>
      </c>
      <c r="D29" s="45" t="s">
        <v>71</v>
      </c>
      <c r="E29" s="45" t="s">
        <v>140</v>
      </c>
      <c r="F29" s="45" t="s">
        <v>141</v>
      </c>
      <c r="G29" s="45" t="s">
        <v>138</v>
      </c>
      <c r="H29" s="45" t="s">
        <v>139</v>
      </c>
      <c r="I29" s="45" t="s">
        <v>3</v>
      </c>
      <c r="J29" s="45" t="s">
        <v>9</v>
      </c>
      <c r="K29" s="46" t="s">
        <v>8</v>
      </c>
      <c r="L29" s="98" t="s">
        <v>127</v>
      </c>
      <c r="M29" s="108" t="s">
        <v>137</v>
      </c>
      <c r="N29" s="109" t="s">
        <v>142</v>
      </c>
    </row>
    <row r="30" spans="1:14" ht="15">
      <c r="A30" s="56"/>
      <c r="B30" s="106">
        <v>10000</v>
      </c>
      <c r="C30" s="28"/>
      <c r="D30" s="28">
        <v>105.5</v>
      </c>
      <c r="E30" s="50">
        <v>0</v>
      </c>
      <c r="F30" s="50">
        <v>22000</v>
      </c>
      <c r="G30" s="50">
        <f>'CARGO 1.'!$D30*'CARGO 1.'!$B30</f>
        <v>1055000</v>
      </c>
      <c r="H30" s="50">
        <v>0</v>
      </c>
      <c r="I30" s="50"/>
      <c r="J30" s="50">
        <v>0</v>
      </c>
      <c r="K30" s="51">
        <f>'CARGO 1.'!$J30-'CARGO 1.'!$I30</f>
        <v>0</v>
      </c>
      <c r="L30" s="99"/>
      <c r="M30" s="97">
        <v>0</v>
      </c>
      <c r="N30" s="95">
        <v>0</v>
      </c>
    </row>
    <row r="31" spans="1:14" ht="15">
      <c r="A31" s="39">
        <v>43445</v>
      </c>
      <c r="B31" s="3">
        <v>10000</v>
      </c>
      <c r="C31" s="3">
        <v>268</v>
      </c>
      <c r="D31" s="68">
        <v>115</v>
      </c>
      <c r="E31" s="3">
        <v>20000</v>
      </c>
      <c r="F31" s="3">
        <f>'CARGO 1.'!$C31*105.5</f>
        <v>28274</v>
      </c>
      <c r="G31" s="3">
        <f>'CARGO 1.'!$C31*'CARGO 1.'!$D31</f>
        <v>30820</v>
      </c>
      <c r="H31" s="3">
        <v>30820</v>
      </c>
      <c r="I31" s="31">
        <v>0</v>
      </c>
      <c r="J31" s="3">
        <f>'CARGO 1.'!$I31</f>
        <v>0</v>
      </c>
      <c r="K31" s="42">
        <f>'CARGO 1.'!$G31-'CARGO 1.'!$E31-L31-'CARGO 1.'!$I31</f>
        <v>10718</v>
      </c>
      <c r="L31" s="96">
        <v>102</v>
      </c>
      <c r="M31" s="97">
        <f>'CARGO 1.'!$G31-'CARGO 1.'!$F31-'CARGO 1.'!$E31-'CARGO 1.'!$L31</f>
        <v>-17556</v>
      </c>
      <c r="N31" s="95">
        <f>'CARGO 1.'!$M31+N30</f>
        <v>-17556</v>
      </c>
    </row>
    <row r="32" spans="1:14" ht="15">
      <c r="A32" s="39">
        <v>43446</v>
      </c>
      <c r="B32" s="3">
        <f aca="true" t="shared" si="2" ref="B32:B43">B31-C31</f>
        <v>9732</v>
      </c>
      <c r="C32" s="25">
        <v>131</v>
      </c>
      <c r="D32" s="68">
        <v>115</v>
      </c>
      <c r="E32" s="30">
        <f>4000</f>
        <v>4000</v>
      </c>
      <c r="F32" s="30">
        <f>'CARGO 1.'!$C32*105.5</f>
        <v>13820.5</v>
      </c>
      <c r="G32" s="3">
        <f>'CARGO 1.'!$C32*'CARGO 1.'!$D32</f>
        <v>15065</v>
      </c>
      <c r="H32" s="25">
        <f>'CARGO 1.'!$G32+H31</f>
        <v>45885</v>
      </c>
      <c r="I32" s="30">
        <v>0</v>
      </c>
      <c r="J32" s="3">
        <f>J31+'CARGO 1.'!$I32</f>
        <v>0</v>
      </c>
      <c r="K32" s="42">
        <f>K31+G32-I32-'CARGO 1.'!$E32-'CARGO 1.'!$L32</f>
        <v>21783</v>
      </c>
      <c r="L32" s="96"/>
      <c r="M32" s="97">
        <f>'CARGO 1.'!$G32-'CARGO 1.'!$F32-'CARGO 1.'!$E32-'CARGO 1.'!$L32</f>
        <v>-2755.5</v>
      </c>
      <c r="N32" s="95">
        <f>'CARGO 1.'!$M32+N31</f>
        <v>-20311.5</v>
      </c>
    </row>
    <row r="33" spans="1:14" ht="15">
      <c r="A33" s="39">
        <v>43447</v>
      </c>
      <c r="B33" s="31">
        <f t="shared" si="2"/>
        <v>9601</v>
      </c>
      <c r="C33" s="3">
        <v>310</v>
      </c>
      <c r="D33" s="68">
        <v>115</v>
      </c>
      <c r="E33" s="3">
        <f>600+3000+250</f>
        <v>3850</v>
      </c>
      <c r="F33" s="3">
        <f>'CARGO 1.'!$C33*105.5</f>
        <v>32705</v>
      </c>
      <c r="G33" s="3">
        <f>'CARGO 1.'!$C33*'CARGO 1.'!$D33</f>
        <v>35650</v>
      </c>
      <c r="H33" s="25">
        <f>'CARGO 1.'!$G33+H32</f>
        <v>81535</v>
      </c>
      <c r="I33" s="3">
        <v>0</v>
      </c>
      <c r="J33" s="3">
        <f>J32+'CARGO 1.'!$I33</f>
        <v>0</v>
      </c>
      <c r="K33" s="42">
        <f>K32+G33-I33-'CARGO 1.'!$E33-'CARGO 1.'!$L33</f>
        <v>53583</v>
      </c>
      <c r="L33" s="96"/>
      <c r="M33" s="97">
        <f>'CARGO 1.'!$G33-'CARGO 1.'!$F33-'CARGO 1.'!$E33-'CARGO 1.'!$L33</f>
        <v>-905</v>
      </c>
      <c r="N33" s="95">
        <f>'CARGO 1.'!$M33+N32</f>
        <v>-21216.5</v>
      </c>
    </row>
    <row r="34" spans="1:14" ht="15">
      <c r="A34" s="39">
        <v>43448</v>
      </c>
      <c r="B34" s="31">
        <f t="shared" si="2"/>
        <v>9291</v>
      </c>
      <c r="C34" s="3">
        <v>293</v>
      </c>
      <c r="D34" s="68">
        <v>115</v>
      </c>
      <c r="E34" s="3">
        <v>0</v>
      </c>
      <c r="F34" s="3">
        <f>'CARGO 1.'!$C34*105.5</f>
        <v>30911.5</v>
      </c>
      <c r="G34" s="3">
        <f>'CARGO 1.'!$C34*'CARGO 1.'!$D34</f>
        <v>33695</v>
      </c>
      <c r="H34" s="25">
        <f>'CARGO 1.'!$G34+H33</f>
        <v>115230</v>
      </c>
      <c r="I34" s="3">
        <v>48582</v>
      </c>
      <c r="J34" s="3">
        <f>J33+'CARGO 1.'!$I34</f>
        <v>48582</v>
      </c>
      <c r="K34" s="42">
        <f>K33+G34-I34-'CARGO 1.'!$E34-'CARGO 1.'!$L34</f>
        <v>38496</v>
      </c>
      <c r="L34" s="96">
        <v>200</v>
      </c>
      <c r="M34" s="97">
        <f>'CARGO 1.'!$G34-'CARGO 1.'!$F34-'CARGO 1.'!$E34-'CARGO 1.'!$L34</f>
        <v>2583.5</v>
      </c>
      <c r="N34" s="95">
        <f>'CARGO 1.'!$M34+N33</f>
        <v>-18633</v>
      </c>
    </row>
    <row r="35" spans="1:14" ht="15">
      <c r="A35" s="39">
        <v>43449</v>
      </c>
      <c r="B35" s="31">
        <f t="shared" si="2"/>
        <v>8998</v>
      </c>
      <c r="C35" s="3">
        <v>649</v>
      </c>
      <c r="D35" s="68">
        <v>115</v>
      </c>
      <c r="E35" s="3">
        <v>0</v>
      </c>
      <c r="F35" s="3">
        <f>'CARGO 1.'!$C35*105.5</f>
        <v>68469.5</v>
      </c>
      <c r="G35" s="3">
        <f>'CARGO 1.'!$C35*'CARGO 1.'!$D35</f>
        <v>74635</v>
      </c>
      <c r="H35" s="25">
        <f>'CARGO 1.'!$G35+H34</f>
        <v>189865</v>
      </c>
      <c r="I35" s="3">
        <f>70000+400</f>
        <v>70400</v>
      </c>
      <c r="J35" s="3">
        <f>J34+'CARGO 1.'!$I35</f>
        <v>118982</v>
      </c>
      <c r="K35" s="42">
        <f>K34+G35-I35-'CARGO 1.'!$E35-'CARGO 1.'!$L35</f>
        <v>42531</v>
      </c>
      <c r="L35" s="96">
        <v>200</v>
      </c>
      <c r="M35" s="97">
        <f>'CARGO 1.'!$G35-'CARGO 1.'!$F35-'CARGO 1.'!$E35-'CARGO 1.'!$L35</f>
        <v>5965.5</v>
      </c>
      <c r="N35" s="95">
        <f>'CARGO 1.'!$M35+N34</f>
        <v>-12667.5</v>
      </c>
    </row>
    <row r="36" spans="1:14" ht="15">
      <c r="A36" s="39">
        <v>43450</v>
      </c>
      <c r="B36" s="31">
        <f t="shared" si="2"/>
        <v>8349</v>
      </c>
      <c r="C36" s="3">
        <v>672</v>
      </c>
      <c r="D36" s="68">
        <v>115</v>
      </c>
      <c r="E36" s="3">
        <v>0</v>
      </c>
      <c r="F36" s="3">
        <f>'CARGO 1.'!$C36*105.5</f>
        <v>70896</v>
      </c>
      <c r="G36" s="3">
        <f>'CARGO 1.'!$C36*'CARGO 1.'!$D36</f>
        <v>77280</v>
      </c>
      <c r="H36" s="25">
        <f>'CARGO 1.'!$G36+H35</f>
        <v>267145</v>
      </c>
      <c r="I36" s="3">
        <v>70680</v>
      </c>
      <c r="J36" s="3">
        <f>J35+'CARGO 1.'!$I36</f>
        <v>189662</v>
      </c>
      <c r="K36" s="42">
        <f>K35+G36-I36-'CARGO 1.'!$E36-'CARGO 1.'!$L36</f>
        <v>48921</v>
      </c>
      <c r="L36" s="96">
        <v>210</v>
      </c>
      <c r="M36" s="97">
        <f>'CARGO 1.'!$G36-'CARGO 1.'!$F36-'CARGO 1.'!$E36-'CARGO 1.'!$L36</f>
        <v>6174</v>
      </c>
      <c r="N36" s="95">
        <f>'CARGO 1.'!$M36+N35</f>
        <v>-6493.5</v>
      </c>
    </row>
    <row r="37" spans="1:14" ht="15">
      <c r="A37" s="39">
        <v>43451</v>
      </c>
      <c r="B37" s="31">
        <f t="shared" si="2"/>
        <v>7677</v>
      </c>
      <c r="C37" s="3">
        <v>764</v>
      </c>
      <c r="D37" s="68">
        <v>111</v>
      </c>
      <c r="E37" s="3">
        <v>0</v>
      </c>
      <c r="F37" s="3">
        <f>'CARGO 1.'!$C37*105.5</f>
        <v>80602</v>
      </c>
      <c r="G37" s="3">
        <f>'CARGO 1.'!$C37*'CARGO 1.'!$D37</f>
        <v>84804</v>
      </c>
      <c r="H37" s="25">
        <f>'CARGO 1.'!$G37+H36</f>
        <v>351949</v>
      </c>
      <c r="I37" s="3">
        <f>70000</f>
        <v>70000</v>
      </c>
      <c r="J37" s="3">
        <f>J36+'CARGO 1.'!$I37</f>
        <v>259662</v>
      </c>
      <c r="K37" s="42">
        <f>K36+G37-I37-'CARGO 1.'!$E37-'CARGO 1.'!$L37</f>
        <v>63515</v>
      </c>
      <c r="L37" s="96">
        <v>210</v>
      </c>
      <c r="M37" s="97">
        <f>'CARGO 1.'!$G37-'CARGO 1.'!$F37-'CARGO 1.'!$E37-'CARGO 1.'!$L37</f>
        <v>3992</v>
      </c>
      <c r="N37" s="95">
        <f>'CARGO 1.'!$M37+N36</f>
        <v>-2501.5</v>
      </c>
    </row>
    <row r="38" spans="1:14" ht="15">
      <c r="A38" s="39">
        <v>43452</v>
      </c>
      <c r="B38" s="31">
        <f t="shared" si="2"/>
        <v>6913</v>
      </c>
      <c r="C38" s="3">
        <v>525</v>
      </c>
      <c r="D38" s="68">
        <v>111</v>
      </c>
      <c r="E38" s="3">
        <v>0</v>
      </c>
      <c r="F38" s="3">
        <f>'CARGO 1.'!$C38*105.5</f>
        <v>55387.5</v>
      </c>
      <c r="G38" s="3">
        <f>'CARGO 1.'!$C38*'CARGO 1.'!$D38</f>
        <v>58275</v>
      </c>
      <c r="H38" s="25">
        <f>'CARGO 1.'!$G38+H37</f>
        <v>410224</v>
      </c>
      <c r="I38" s="3">
        <v>70000</v>
      </c>
      <c r="J38" s="3">
        <f>J37+'CARGO 1.'!$I38</f>
        <v>329662</v>
      </c>
      <c r="K38" s="42">
        <f>K37+G38-I38-'CARGO 1.'!$E38-'CARGO 1.'!$L38</f>
        <v>51580</v>
      </c>
      <c r="L38" s="96">
        <v>210</v>
      </c>
      <c r="M38" s="97">
        <f>'CARGO 1.'!$G38-'CARGO 1.'!$F38-'CARGO 1.'!$E38-'CARGO 1.'!$L38</f>
        <v>2677.5</v>
      </c>
      <c r="N38" s="95">
        <f>'CARGO 1.'!$M38+N37</f>
        <v>176</v>
      </c>
    </row>
    <row r="39" spans="1:14" ht="15">
      <c r="A39" s="39">
        <v>43453</v>
      </c>
      <c r="B39" s="31">
        <f t="shared" si="2"/>
        <v>6388</v>
      </c>
      <c r="C39" s="3">
        <v>507</v>
      </c>
      <c r="D39" s="68">
        <v>111</v>
      </c>
      <c r="E39" s="3">
        <v>0</v>
      </c>
      <c r="F39" s="3">
        <f>'CARGO 1.'!$C39*105.5</f>
        <v>53488.5</v>
      </c>
      <c r="G39" s="3">
        <f>'CARGO 1.'!$C39*'CARGO 1.'!$D39</f>
        <v>56277</v>
      </c>
      <c r="H39" s="25">
        <f>'CARGO 1.'!$G39+H38</f>
        <v>466501</v>
      </c>
      <c r="I39" s="3">
        <v>70000</v>
      </c>
      <c r="J39" s="3">
        <f>J38+'CARGO 1.'!$I39</f>
        <v>399662</v>
      </c>
      <c r="K39" s="42">
        <f>K38+G39-I39-'CARGO 1.'!$E39-'CARGO 1.'!$L39</f>
        <v>37647</v>
      </c>
      <c r="L39" s="96">
        <v>210</v>
      </c>
      <c r="M39" s="97">
        <f>'CARGO 1.'!$G39-'CARGO 1.'!$F39-'CARGO 1.'!$E39-'CARGO 1.'!$L39</f>
        <v>2578.5</v>
      </c>
      <c r="N39" s="95">
        <f>'CARGO 1.'!$M39+N38</f>
        <v>2754.5</v>
      </c>
    </row>
    <row r="40" spans="1:14" ht="15">
      <c r="A40" s="39">
        <v>43454</v>
      </c>
      <c r="B40" s="31">
        <f t="shared" si="2"/>
        <v>5881</v>
      </c>
      <c r="C40" s="3">
        <v>330</v>
      </c>
      <c r="D40" s="68">
        <v>111</v>
      </c>
      <c r="E40" s="3">
        <v>300</v>
      </c>
      <c r="F40" s="3">
        <f>'CARGO 1.'!$C40*105.5</f>
        <v>34815</v>
      </c>
      <c r="G40" s="3">
        <f>'CARGO 1.'!$C40*'CARGO 1.'!$D40</f>
        <v>36630</v>
      </c>
      <c r="H40" s="25">
        <f>'CARGO 1.'!$G40+H39</f>
        <v>503131</v>
      </c>
      <c r="I40" s="3">
        <v>63350</v>
      </c>
      <c r="J40" s="3">
        <f>J39+'CARGO 1.'!$I40</f>
        <v>463012</v>
      </c>
      <c r="K40" s="42">
        <f>K39+G40-I40-'CARGO 1.'!$E40-'CARGO 1.'!$L40</f>
        <v>10417</v>
      </c>
      <c r="L40" s="96">
        <v>210</v>
      </c>
      <c r="M40" s="97">
        <f>'CARGO 1.'!$G40-'CARGO 1.'!$F40-'CARGO 1.'!$E40-'CARGO 1.'!$L40</f>
        <v>1305</v>
      </c>
      <c r="N40" s="95">
        <f>'CARGO 1.'!$M40+N39</f>
        <v>4059.5</v>
      </c>
    </row>
    <row r="41" spans="1:14" ht="15">
      <c r="A41" s="39">
        <v>43455</v>
      </c>
      <c r="B41" s="31">
        <f t="shared" si="2"/>
        <v>5551</v>
      </c>
      <c r="C41" s="3">
        <v>410</v>
      </c>
      <c r="D41" s="68">
        <v>111</v>
      </c>
      <c r="E41" s="3">
        <v>0</v>
      </c>
      <c r="F41" s="3">
        <f>'CARGO 1.'!$C41*105.5</f>
        <v>43255</v>
      </c>
      <c r="G41" s="3">
        <f>'CARGO 1.'!$C41*'CARGO 1.'!$D41</f>
        <v>45510</v>
      </c>
      <c r="H41" s="25">
        <f>'CARGO 1.'!$G41+H40</f>
        <v>548641</v>
      </c>
      <c r="I41" s="3">
        <v>0</v>
      </c>
      <c r="J41" s="3">
        <f>J40+'CARGO 1.'!$I41</f>
        <v>463012</v>
      </c>
      <c r="K41" s="42">
        <f>K40+G41-I41-'CARGO 1.'!$E41-'CARGO 1.'!$L41</f>
        <v>55927</v>
      </c>
      <c r="L41" s="96">
        <v>0</v>
      </c>
      <c r="M41" s="97">
        <f>'CARGO 1.'!$G41-'CARGO 1.'!$F41-'CARGO 1.'!$E41-'CARGO 1.'!$L41</f>
        <v>2255</v>
      </c>
      <c r="N41" s="95">
        <f>'CARGO 1.'!$M41+N40</f>
        <v>6314.5</v>
      </c>
    </row>
    <row r="42" spans="1:14" ht="15">
      <c r="A42" s="39">
        <v>43456</v>
      </c>
      <c r="B42" s="31">
        <f t="shared" si="2"/>
        <v>5141</v>
      </c>
      <c r="C42" s="3">
        <v>488</v>
      </c>
      <c r="D42" s="68">
        <v>111</v>
      </c>
      <c r="E42" s="3">
        <v>300</v>
      </c>
      <c r="F42" s="3">
        <f>'CARGO 1.'!$C42*105.5</f>
        <v>51484</v>
      </c>
      <c r="G42" s="3">
        <f>'CARGO 1.'!$C42*'CARGO 1.'!$D42</f>
        <v>54168</v>
      </c>
      <c r="H42" s="25">
        <f>'CARGO 1.'!$G42+H41</f>
        <v>602809</v>
      </c>
      <c r="I42" s="3">
        <v>70000</v>
      </c>
      <c r="J42" s="3">
        <f>J41+'CARGO 1.'!$I42</f>
        <v>533012</v>
      </c>
      <c r="K42" s="42">
        <f>K41+G42-I42-'CARGO 1.'!$E42-'CARGO 1.'!$L42</f>
        <v>39585</v>
      </c>
      <c r="L42" s="96">
        <v>210</v>
      </c>
      <c r="M42" s="97">
        <f>'CARGO 1.'!$G42-'CARGO 1.'!$F42-'CARGO 1.'!$E42-'CARGO 1.'!$L42</f>
        <v>2174</v>
      </c>
      <c r="N42" s="95">
        <f>'CARGO 1.'!$M42+N41</f>
        <v>8488.5</v>
      </c>
    </row>
    <row r="43" spans="1:14" ht="15">
      <c r="A43" s="39">
        <v>43457</v>
      </c>
      <c r="B43" s="31">
        <f t="shared" si="2"/>
        <v>4653</v>
      </c>
      <c r="C43" s="3">
        <v>1268</v>
      </c>
      <c r="D43" s="68">
        <v>111</v>
      </c>
      <c r="E43" s="3"/>
      <c r="F43" s="3">
        <f>'CARGO 1.'!$C43*105.5</f>
        <v>133774</v>
      </c>
      <c r="G43" s="3">
        <f>'CARGO 1.'!$C43*'CARGO 1.'!$D43</f>
        <v>140748</v>
      </c>
      <c r="H43" s="25">
        <f>'CARGO 1.'!$G43+H42</f>
        <v>743557</v>
      </c>
      <c r="I43" s="3">
        <f>70000+30000</f>
        <v>100000</v>
      </c>
      <c r="J43" s="3">
        <f>J42+'CARGO 1.'!$I43</f>
        <v>633012</v>
      </c>
      <c r="K43" s="42">
        <f>K42+G43-I43-'CARGO 1.'!$E43-'CARGO 1.'!$L43</f>
        <v>79993</v>
      </c>
      <c r="L43" s="96">
        <f>210+130</f>
        <v>340</v>
      </c>
      <c r="M43" s="97">
        <f>'CARGO 1.'!$G43-'CARGO 1.'!$F43-'CARGO 1.'!$E43-'CARGO 1.'!$L43</f>
        <v>6634</v>
      </c>
      <c r="N43" s="95">
        <f>'CARGO 1.'!$M43+N42</f>
        <v>15122.5</v>
      </c>
    </row>
    <row r="44" spans="1:14" ht="15">
      <c r="A44" s="39">
        <v>43458</v>
      </c>
      <c r="B44" s="31">
        <f>B43-C43</f>
        <v>3385</v>
      </c>
      <c r="C44" s="3">
        <v>1012</v>
      </c>
      <c r="D44" s="68">
        <v>111</v>
      </c>
      <c r="E44" s="3">
        <f>300+1000+4000+300+2500+250+900</f>
        <v>9250</v>
      </c>
      <c r="F44" s="3">
        <f>'CARGO 1.'!$C44*105.5</f>
        <v>106766</v>
      </c>
      <c r="G44" s="3">
        <f>'CARGO 1.'!$C44*'CARGO 1.'!$D44</f>
        <v>112332</v>
      </c>
      <c r="H44" s="25">
        <f>'CARGO 1.'!$G44+H43</f>
        <v>855889</v>
      </c>
      <c r="I44" s="3">
        <v>90733</v>
      </c>
      <c r="J44" s="3">
        <f>J43+'CARGO 1.'!$I44</f>
        <v>723745</v>
      </c>
      <c r="K44" s="42">
        <f>K43+G44-I44-'CARGO 1.'!$E44-'CARGO 1.'!$L44</f>
        <v>92073</v>
      </c>
      <c r="L44" s="96">
        <f>202+67</f>
        <v>269</v>
      </c>
      <c r="M44" s="97">
        <f>'CARGO 1.'!$G44-'CARGO 1.'!$F44-'CARGO 1.'!$E44-'CARGO 1.'!$L44</f>
        <v>-3953</v>
      </c>
      <c r="N44" s="95">
        <f>'CARGO 1.'!$M44+N43</f>
        <v>11169.5</v>
      </c>
    </row>
    <row r="45" spans="1:14" ht="15">
      <c r="A45" s="39">
        <v>43459</v>
      </c>
      <c r="B45" s="31">
        <f>B44-C44</f>
        <v>2373</v>
      </c>
      <c r="C45" s="3">
        <v>765</v>
      </c>
      <c r="D45" s="68">
        <v>111</v>
      </c>
      <c r="E45" s="3">
        <f>500+480</f>
        <v>980</v>
      </c>
      <c r="F45" s="3">
        <f>'CARGO 1.'!$C45*105.5</f>
        <v>80707.5</v>
      </c>
      <c r="G45" s="3">
        <f>'CARGO 1.'!$C45*'CARGO 1.'!$D45</f>
        <v>84915</v>
      </c>
      <c r="H45" s="25">
        <f>'CARGO 1.'!$G45+H44</f>
        <v>940804</v>
      </c>
      <c r="I45" s="3">
        <v>127717</v>
      </c>
      <c r="J45" s="3">
        <f>J44+'CARGO 1.'!$I45</f>
        <v>851462</v>
      </c>
      <c r="K45" s="42">
        <f>K44+G45-I45-'CARGO 1.'!$E45-'CARGO 1.'!$L45</f>
        <v>47645</v>
      </c>
      <c r="L45" s="96">
        <f>130+202+56+56+202</f>
        <v>646</v>
      </c>
      <c r="M45" s="97">
        <f>'CARGO 1.'!$G45-'CARGO 1.'!$F45-'CARGO 1.'!$E45-'CARGO 1.'!$L45</f>
        <v>2581.5</v>
      </c>
      <c r="N45" s="95">
        <f>'CARGO 1.'!$M45+N44</f>
        <v>13751</v>
      </c>
    </row>
    <row r="46" spans="1:14" ht="15">
      <c r="A46" s="39">
        <v>43460</v>
      </c>
      <c r="B46" s="31">
        <f>B45-C45</f>
        <v>1608</v>
      </c>
      <c r="C46" s="3">
        <v>785</v>
      </c>
      <c r="D46" s="68">
        <v>111</v>
      </c>
      <c r="E46" s="3">
        <f>200</f>
        <v>200</v>
      </c>
      <c r="F46" s="3">
        <f>'CARGO 1.'!$C46*105.5</f>
        <v>82817.5</v>
      </c>
      <c r="G46" s="3">
        <f>'CARGO 1.'!$C46*'CARGO 1.'!$D46</f>
        <v>87135</v>
      </c>
      <c r="H46" s="25">
        <f>'CARGO 1.'!$G46+H45</f>
        <v>1027939</v>
      </c>
      <c r="I46" s="3">
        <f>17693</f>
        <v>17693</v>
      </c>
      <c r="J46" s="3">
        <f>J45+'CARGO 1.'!$I46</f>
        <v>869155</v>
      </c>
      <c r="K46" s="42">
        <f>K45+G46-I46-'CARGO 1.'!$E46-'CARGO 1.'!$L46</f>
        <v>116820</v>
      </c>
      <c r="L46" s="96">
        <f>67</f>
        <v>67</v>
      </c>
      <c r="M46" s="97">
        <f>'CARGO 1.'!$G46-'CARGO 1.'!$F46-'CARGO 1.'!$E46-'CARGO 1.'!$L46</f>
        <v>4050.5</v>
      </c>
      <c r="N46" s="95">
        <f>'CARGO 1.'!$M46+N45</f>
        <v>17801.5</v>
      </c>
    </row>
    <row r="47" spans="1:14" ht="15">
      <c r="A47" s="39">
        <v>43461</v>
      </c>
      <c r="B47" s="31">
        <f>B46-C46</f>
        <v>823</v>
      </c>
      <c r="C47" s="3">
        <v>602</v>
      </c>
      <c r="D47" s="68">
        <v>111</v>
      </c>
      <c r="E47" s="3">
        <v>500</v>
      </c>
      <c r="F47" s="3">
        <f>'CARGO 1.'!$C47*105.5</f>
        <v>63511</v>
      </c>
      <c r="G47" s="3">
        <f>'CARGO 1.'!$C47*'CARGO 1.'!$D47</f>
        <v>66822</v>
      </c>
      <c r="H47" s="25">
        <f>'CARGO 1.'!$G47+H46</f>
        <v>1094761</v>
      </c>
      <c r="I47" s="3">
        <v>125332</v>
      </c>
      <c r="J47" s="3">
        <f>J46+'CARGO 1.'!$I47</f>
        <v>994487</v>
      </c>
      <c r="K47" s="42">
        <f>K46+G47-I47-'CARGO 1.'!$E47-'CARGO 1.'!$L47</f>
        <v>57541</v>
      </c>
      <c r="L47" s="96">
        <v>269</v>
      </c>
      <c r="M47" s="97">
        <f>'CARGO 1.'!$G47-'CARGO 1.'!$F47-'CARGO 1.'!$E47-'CARGO 1.'!$L47</f>
        <v>2542</v>
      </c>
      <c r="N47" s="95">
        <f>'CARGO 1.'!$M47+N46</f>
        <v>20343.5</v>
      </c>
    </row>
    <row r="48" spans="1:14" ht="15">
      <c r="A48" s="39">
        <v>43462</v>
      </c>
      <c r="B48" s="31">
        <f>B47-C47</f>
        <v>221</v>
      </c>
      <c r="C48" s="3">
        <v>221</v>
      </c>
      <c r="D48" s="68">
        <v>111</v>
      </c>
      <c r="E48" s="3">
        <v>250</v>
      </c>
      <c r="F48" s="3">
        <f>'CARGO 1.'!$C48*105.5</f>
        <v>23315.5</v>
      </c>
      <c r="G48" s="3">
        <f>'CARGO 1.'!$C48*'CARGO 1.'!$D48</f>
        <v>24531</v>
      </c>
      <c r="H48" s="25">
        <f>'CARGO 1.'!$G48+H47</f>
        <v>1119292</v>
      </c>
      <c r="I48" s="3">
        <v>79375</v>
      </c>
      <c r="J48" s="3">
        <f>J47+'CARGO 1.'!$I48</f>
        <v>1073862</v>
      </c>
      <c r="K48" s="42">
        <f>K47+G48-I48-'CARGO 1.'!$E48-'CARGO 1.'!$L48</f>
        <v>2170</v>
      </c>
      <c r="L48" s="96">
        <v>277</v>
      </c>
      <c r="M48" s="97">
        <f>'CARGO 1.'!$G48-'CARGO 1.'!$F48-'CARGO 1.'!$E48-'CARGO 1.'!$L48</f>
        <v>688.5</v>
      </c>
      <c r="N48" s="95">
        <f>'CARGO 1.'!$M48+N47</f>
        <v>21032</v>
      </c>
    </row>
    <row r="49" spans="1:14" ht="15">
      <c r="A49" s="39">
        <v>43463</v>
      </c>
      <c r="B49" s="31">
        <f>B48-C48</f>
        <v>0</v>
      </c>
      <c r="C49" s="3"/>
      <c r="D49" s="68">
        <v>111</v>
      </c>
      <c r="E49" s="3"/>
      <c r="F49" s="48">
        <f>'CARGO 1.'!$C49*105.5</f>
        <v>0</v>
      </c>
      <c r="G49" s="3">
        <f>'CARGO 1.'!$C49*'CARGO 1.'!$D49</f>
        <v>0</v>
      </c>
      <c r="H49" s="25">
        <f>'CARGO 1.'!$G49+H48</f>
        <v>1119292</v>
      </c>
      <c r="I49" s="3"/>
      <c r="J49" s="3"/>
      <c r="K49" s="42"/>
      <c r="L49" s="96"/>
      <c r="M49" s="95">
        <f>'CARGO 1.'!$G49-'CARGO 1.'!$F49-'CARGO 1.'!$E49</f>
        <v>0</v>
      </c>
      <c r="N49" s="95">
        <f>'CARGO 1.'!$M49+N48</f>
        <v>21032</v>
      </c>
    </row>
    <row r="50" spans="1:14" ht="15">
      <c r="A50" s="39">
        <v>43464</v>
      </c>
      <c r="B50" s="31">
        <f>B49-C49</f>
        <v>0</v>
      </c>
      <c r="C50" s="3"/>
      <c r="D50" s="68">
        <v>111</v>
      </c>
      <c r="E50" s="3"/>
      <c r="F50" s="48">
        <f>'CARGO 1.'!$C50*105.5</f>
        <v>0</v>
      </c>
      <c r="G50" s="3"/>
      <c r="H50" s="25">
        <f>'CARGO 1.'!$G50+H49</f>
        <v>1119292</v>
      </c>
      <c r="I50" s="3"/>
      <c r="J50" s="3"/>
      <c r="K50" s="42"/>
      <c r="L50" s="96"/>
      <c r="M50" s="95">
        <f>'CARGO 1.'!$G50-'CARGO 1.'!$F50-'CARGO 1.'!$E50</f>
        <v>0</v>
      </c>
      <c r="N50" s="95">
        <f>'CARGO 1.'!$M50+N49</f>
        <v>21032</v>
      </c>
    </row>
    <row r="51" spans="1:14" ht="15">
      <c r="A51" s="39">
        <v>43465</v>
      </c>
      <c r="B51" s="31">
        <f>B50-C50</f>
        <v>0</v>
      </c>
      <c r="C51" s="3"/>
      <c r="D51" s="68">
        <v>111</v>
      </c>
      <c r="E51" s="3"/>
      <c r="F51" s="48">
        <f>'CARGO 1.'!$C51*105.5</f>
        <v>0</v>
      </c>
      <c r="G51" s="3"/>
      <c r="H51" s="25">
        <f>'CARGO 1.'!$G51+H50</f>
        <v>1119292</v>
      </c>
      <c r="I51" s="3"/>
      <c r="J51" s="3"/>
      <c r="K51" s="42"/>
      <c r="L51" s="96"/>
      <c r="M51" s="95">
        <f>'CARGO 1.'!$G51-'CARGO 1.'!$F51-'CARGO 1.'!$E51</f>
        <v>0</v>
      </c>
      <c r="N51" s="95">
        <f>'CARGO 1.'!$M51+N48</f>
        <v>21032</v>
      </c>
    </row>
    <row r="52" spans="1:14" ht="15">
      <c r="A52" s="15"/>
      <c r="B52" s="15"/>
      <c r="C52" s="15">
        <f>SUM(C31:C51)</f>
        <v>10000</v>
      </c>
      <c r="D52" s="15"/>
      <c r="E52" s="15">
        <f>SUM(E31:E51)</f>
        <v>39630</v>
      </c>
      <c r="F52" s="15">
        <f>SUM(F31:F51)</f>
        <v>1055000</v>
      </c>
      <c r="G52" s="15">
        <f>SUM(G31:G51)</f>
        <v>1119292</v>
      </c>
      <c r="H52" s="15"/>
      <c r="I52" s="15">
        <f>SUM(I31:I51)</f>
        <v>1073862</v>
      </c>
      <c r="J52" s="15"/>
      <c r="K52" s="15"/>
      <c r="L52" s="15">
        <f>SUM(L31:L48)</f>
        <v>3630</v>
      </c>
      <c r="M52" s="15">
        <f>SUM(M31:M48)</f>
        <v>21032</v>
      </c>
      <c r="N52" s="95"/>
    </row>
    <row r="53" spans="1:14" ht="15">
      <c r="A53" s="39"/>
      <c r="B53" s="31"/>
      <c r="C53" s="48"/>
      <c r="D53" s="68"/>
      <c r="E53" s="48"/>
      <c r="F53" s="48">
        <f>'CARGO 1.'!$C53*105.5</f>
        <v>0</v>
      </c>
      <c r="G53" s="3"/>
      <c r="H53" s="48"/>
      <c r="I53" s="48"/>
      <c r="J53" s="3"/>
      <c r="K53" s="42"/>
      <c r="L53" s="96"/>
      <c r="M53" s="95"/>
      <c r="N53" s="95"/>
    </row>
    <row r="54" spans="1:14" ht="15">
      <c r="A54" s="60" t="s">
        <v>26</v>
      </c>
      <c r="B54" s="8"/>
      <c r="C54" s="8">
        <f>C24*20</f>
        <v>460</v>
      </c>
      <c r="D54" s="68"/>
      <c r="E54" s="8">
        <f>E24</f>
        <v>0</v>
      </c>
      <c r="F54" s="8">
        <f>'CARGO 1.'!$C54*105.5</f>
        <v>48530</v>
      </c>
      <c r="G54" s="8">
        <f>F24</f>
        <v>51060</v>
      </c>
      <c r="H54" s="8">
        <f>G53+'CARGO 1.'!$G54</f>
        <v>51060</v>
      </c>
      <c r="I54" s="8">
        <f>G24</f>
        <v>46334</v>
      </c>
      <c r="J54" s="8"/>
      <c r="K54" s="61"/>
      <c r="L54" s="100"/>
      <c r="M54" s="107"/>
      <c r="N54" s="95">
        <f>'CARGO 1.'!$M54+N53</f>
        <v>0</v>
      </c>
    </row>
    <row r="55" spans="1:10" ht="15">
      <c r="A55" s="63"/>
      <c r="B55" s="64"/>
      <c r="C55" s="64"/>
      <c r="D55" s="64"/>
      <c r="E55" s="64"/>
      <c r="F55" s="64"/>
      <c r="G55" s="64"/>
      <c r="H55" s="64"/>
      <c r="I55" s="65"/>
      <c r="J55" s="65"/>
    </row>
    <row r="56" spans="2:10" ht="15">
      <c r="B56" s="62" t="s">
        <v>52</v>
      </c>
      <c r="C56" s="53">
        <f>B22*20</f>
        <v>140</v>
      </c>
      <c r="D56" s="12"/>
      <c r="E56" s="12"/>
      <c r="F56" s="12"/>
      <c r="G56" s="12"/>
      <c r="H56" s="20"/>
      <c r="I56" s="17"/>
      <c r="J56" s="55"/>
    </row>
    <row r="57" spans="2:10" ht="15">
      <c r="B57" s="12" t="s">
        <v>51</v>
      </c>
      <c r="C57" s="53">
        <f>C52-C54-C56</f>
        <v>9400</v>
      </c>
      <c r="D57" s="53"/>
      <c r="E57" s="12" t="s">
        <v>50</v>
      </c>
      <c r="F57" s="53">
        <f>G52</f>
        <v>1119292</v>
      </c>
      <c r="G57" s="12"/>
      <c r="H57" s="20"/>
      <c r="I57" s="17"/>
      <c r="J57" s="55"/>
    </row>
    <row r="58" spans="3:10" ht="15">
      <c r="C58" s="12"/>
      <c r="D58" s="53"/>
      <c r="E58" s="12" t="s">
        <v>53</v>
      </c>
      <c r="F58" s="53">
        <f>F57-E52-I52-L52</f>
        <v>2170</v>
      </c>
      <c r="G58" s="53"/>
      <c r="H58" s="20"/>
      <c r="I58" s="55"/>
      <c r="J58" s="55"/>
    </row>
    <row r="59" spans="1:9" s="12" customFormat="1" ht="15">
      <c r="A59" s="12" t="s">
        <v>60</v>
      </c>
      <c r="B59" s="12">
        <v>369184</v>
      </c>
      <c r="D59" s="53"/>
      <c r="E59" s="12" t="s">
        <v>53</v>
      </c>
      <c r="I59" s="53"/>
    </row>
    <row r="60" ht="15">
      <c r="D60" s="12"/>
    </row>
    <row r="61" spans="4:7" ht="15">
      <c r="D61" s="12"/>
      <c r="G61" s="23"/>
    </row>
    <row r="62" spans="3:7" ht="15">
      <c r="C62" s="20"/>
      <c r="D62" s="12"/>
      <c r="E62" s="20"/>
      <c r="G62" s="20">
        <f>G30+20000</f>
        <v>1075000</v>
      </c>
    </row>
    <row r="64" ht="15">
      <c r="F64" s="20"/>
    </row>
    <row r="66" ht="15">
      <c r="F66" s="20"/>
    </row>
    <row r="244" ht="15">
      <c r="M244">
        <v>48</v>
      </c>
    </row>
  </sheetData>
  <sheetProtection/>
  <mergeCells count="2">
    <mergeCell ref="B28:H28"/>
    <mergeCell ref="B2:H2"/>
  </mergeCells>
  <printOptions/>
  <pageMargins left="0.7" right="0.7" top="0.75" bottom="0.75" header="0.3" footer="0.3"/>
  <pageSetup fitToHeight="1" fitToWidth="1" horizontalDpi="600" verticalDpi="600" orientation="landscape" scale="14" r:id="rId4"/>
  <drawing r:id="rId3"/>
  <tableParts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37">
      <selection activeCell="F13" sqref="F13"/>
    </sheetView>
  </sheetViews>
  <sheetFormatPr defaultColWidth="9.140625" defaultRowHeight="15"/>
  <cols>
    <col min="3" max="3" width="21.7109375" style="0" customWidth="1"/>
    <col min="6" max="6" width="13.7109375" style="0" customWidth="1"/>
    <col min="8" max="8" width="14.140625" style="0" customWidth="1"/>
    <col min="9" max="9" width="10.57421875" style="0" customWidth="1"/>
    <col min="10" max="10" width="12.140625" style="0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0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</row>
    <row r="4" spans="2:10" ht="15">
      <c r="B4" s="56"/>
      <c r="C4" s="28"/>
      <c r="D4" s="28"/>
      <c r="E4" s="28">
        <v>96</v>
      </c>
      <c r="F4" s="50"/>
      <c r="G4" s="50">
        <f>'CARGO 13'!$E4*'CARGO 13'!$C4</f>
        <v>0</v>
      </c>
      <c r="H4" s="50"/>
      <c r="I4" s="50">
        <f>'CARGO 13'!$G4-'CARGO 13'!$F4</f>
        <v>0</v>
      </c>
      <c r="J4" s="51">
        <f>'CARGO 13'!$I4-'CARGO 13'!$H4</f>
        <v>0</v>
      </c>
    </row>
    <row r="5" spans="2:10" ht="15">
      <c r="B5" s="39">
        <v>43275</v>
      </c>
      <c r="C5" s="3">
        <v>44</v>
      </c>
      <c r="D5" s="3">
        <v>11</v>
      </c>
      <c r="E5" s="68">
        <f>20*107</f>
        <v>2140</v>
      </c>
      <c r="F5" s="31"/>
      <c r="G5" s="3">
        <f>'CARGO 13'!$D5*'CARGO 13'!$E5</f>
        <v>23540</v>
      </c>
      <c r="H5" s="31">
        <v>23540</v>
      </c>
      <c r="I5" s="3">
        <f>'CARGO 13'!$H5</f>
        <v>23540</v>
      </c>
      <c r="J5" s="42">
        <f>'CARGO 13'!$G5-'CARGO 13'!$F5-'CARGO 13'!$H5</f>
        <v>0</v>
      </c>
    </row>
    <row r="6" spans="2:10" ht="15">
      <c r="B6" s="39">
        <v>43276</v>
      </c>
      <c r="C6" s="3">
        <f>C5-D5</f>
        <v>33</v>
      </c>
      <c r="D6" s="25">
        <v>30</v>
      </c>
      <c r="E6" s="68">
        <f>20*106.5</f>
        <v>2130</v>
      </c>
      <c r="F6" s="30"/>
      <c r="G6" s="3">
        <f>'CARGO 13'!$D6*'CARGO 13'!$E6</f>
        <v>63900</v>
      </c>
      <c r="H6" s="30">
        <v>36210</v>
      </c>
      <c r="I6" s="3">
        <f>I5+'CARGO 13'!$H6</f>
        <v>59750</v>
      </c>
      <c r="J6" s="42">
        <f>J5+'CARGO 13'!$G6-'CARGO 13'!$F6-'CARGO 13'!$H6</f>
        <v>27690</v>
      </c>
    </row>
    <row r="7" spans="2:10" ht="15">
      <c r="B7" s="39">
        <v>43277</v>
      </c>
      <c r="C7" s="3">
        <f>C6-D6+15</f>
        <v>18</v>
      </c>
      <c r="D7" s="3">
        <v>3</v>
      </c>
      <c r="E7" s="68">
        <f aca="true" t="shared" si="0" ref="E7:E16">20*106.5</f>
        <v>2130</v>
      </c>
      <c r="F7" s="3">
        <v>100</v>
      </c>
      <c r="G7" s="3">
        <f>'CARGO 13'!$D7*'CARGO 13'!$E7</f>
        <v>6390</v>
      </c>
      <c r="H7" s="69">
        <v>20000</v>
      </c>
      <c r="I7" s="3">
        <f>I6+'CARGO 13'!$H7</f>
        <v>79750</v>
      </c>
      <c r="J7" s="42">
        <f>J6+'CARGO 13'!$G7-'CARGO 13'!$F7-'CARGO 13'!$H7</f>
        <v>13980</v>
      </c>
    </row>
    <row r="8" spans="2:10" ht="15">
      <c r="B8" s="39">
        <v>43278</v>
      </c>
      <c r="C8" s="3">
        <f>C7-D7+19</f>
        <v>34</v>
      </c>
      <c r="D8" s="3">
        <v>21</v>
      </c>
      <c r="E8" s="68">
        <f t="shared" si="0"/>
        <v>2130</v>
      </c>
      <c r="F8" s="3"/>
      <c r="G8" s="3">
        <f>'CARGO 13'!$D8*'CARGO 13'!$E8</f>
        <v>44730</v>
      </c>
      <c r="H8" s="3">
        <f>7690+6390</f>
        <v>14080</v>
      </c>
      <c r="I8" s="3">
        <f>I7+'CARGO 13'!$H8</f>
        <v>93830</v>
      </c>
      <c r="J8" s="42">
        <f>J7+'CARGO 13'!$G8-'CARGO 13'!$F8-'CARGO 13'!$H8</f>
        <v>44630</v>
      </c>
    </row>
    <row r="9" spans="2:10" ht="15">
      <c r="B9" s="39">
        <v>43279</v>
      </c>
      <c r="C9" s="3">
        <f>C8-D8+15</f>
        <v>28</v>
      </c>
      <c r="D9" s="3">
        <v>13</v>
      </c>
      <c r="E9" s="68">
        <f t="shared" si="0"/>
        <v>2130</v>
      </c>
      <c r="F9" s="3"/>
      <c r="G9" s="3">
        <f>'CARGO 13'!$D9*'CARGO 13'!$E9</f>
        <v>27690</v>
      </c>
      <c r="H9" s="3">
        <f>26000+15800+2930</f>
        <v>44730</v>
      </c>
      <c r="I9" s="3">
        <f>I8+'CARGO 13'!$H9</f>
        <v>138560</v>
      </c>
      <c r="J9" s="42">
        <f>J8+'CARGO 13'!$G9-'CARGO 13'!$F9-'CARGO 13'!$H9</f>
        <v>27590</v>
      </c>
    </row>
    <row r="10" spans="2:10" ht="15">
      <c r="B10" s="39">
        <v>43280</v>
      </c>
      <c r="C10" s="3">
        <f>C9-D9+18</f>
        <v>33</v>
      </c>
      <c r="D10" s="3">
        <v>13</v>
      </c>
      <c r="E10" s="68">
        <f t="shared" si="0"/>
        <v>2130</v>
      </c>
      <c r="F10" s="3"/>
      <c r="G10" s="3">
        <f>'CARGO 13'!$D10*'CARGO 13'!$E10</f>
        <v>27690</v>
      </c>
      <c r="H10" s="3">
        <v>14800</v>
      </c>
      <c r="I10" s="3">
        <f>I9+'CARGO 13'!$H10</f>
        <v>153360</v>
      </c>
      <c r="J10" s="42">
        <f>J9+'CARGO 13'!$G10-'CARGO 13'!$F10-'CARGO 13'!$H10</f>
        <v>40480</v>
      </c>
    </row>
    <row r="11" spans="2:10" ht="15">
      <c r="B11" s="39">
        <v>43281</v>
      </c>
      <c r="C11" s="3">
        <f>C10-D10</f>
        <v>20</v>
      </c>
      <c r="D11" s="3">
        <v>18</v>
      </c>
      <c r="E11" s="68">
        <f t="shared" si="0"/>
        <v>2130</v>
      </c>
      <c r="F11" s="3"/>
      <c r="G11" s="3">
        <f>'CARGO 13'!$D11*'CARGO 13'!$E11</f>
        <v>38340</v>
      </c>
      <c r="H11" s="3">
        <f>12890+12100</f>
        <v>24990</v>
      </c>
      <c r="I11" s="3">
        <f>I10+'CARGO 13'!$H11</f>
        <v>178350</v>
      </c>
      <c r="J11" s="42">
        <f>J10+'CARGO 13'!$G11-'CARGO 13'!$F11-'CARGO 13'!$H11</f>
        <v>53830</v>
      </c>
    </row>
    <row r="12" spans="2:10" ht="15">
      <c r="B12" s="39">
        <v>43282</v>
      </c>
      <c r="C12" s="3">
        <f>C11-D11+8+12</f>
        <v>22</v>
      </c>
      <c r="D12" s="3">
        <v>10</v>
      </c>
      <c r="E12" s="68">
        <f t="shared" si="0"/>
        <v>2130</v>
      </c>
      <c r="F12" s="3"/>
      <c r="G12" s="3">
        <f>'CARGO 13'!$D12*'CARGO 13'!$E12</f>
        <v>21300</v>
      </c>
      <c r="H12" s="3">
        <f>15590</f>
        <v>15590</v>
      </c>
      <c r="I12" s="3">
        <f>I11+'CARGO 13'!$H12</f>
        <v>193940</v>
      </c>
      <c r="J12" s="42">
        <f>J11+'CARGO 13'!$G12-'CARGO 13'!$F12-'CARGO 13'!$H12</f>
        <v>59540</v>
      </c>
    </row>
    <row r="13" spans="2:10" ht="15">
      <c r="B13" s="39">
        <v>43283</v>
      </c>
      <c r="C13" s="3">
        <f>C12-D12+23</f>
        <v>35</v>
      </c>
      <c r="D13" s="3">
        <v>17</v>
      </c>
      <c r="E13" s="68">
        <f t="shared" si="0"/>
        <v>2130</v>
      </c>
      <c r="F13" s="3">
        <f>1050+4000</f>
        <v>5050</v>
      </c>
      <c r="G13" s="3">
        <f>'CARGO 13'!$D13*'CARGO 13'!$E13</f>
        <v>36210</v>
      </c>
      <c r="H13" s="3">
        <f>38340+10200+10024</f>
        <v>58564</v>
      </c>
      <c r="I13" s="3">
        <f>I12+'CARGO 13'!$H13</f>
        <v>252504</v>
      </c>
      <c r="J13" s="42">
        <f>J12+'CARGO 13'!$G13-'CARGO 13'!$F13-'CARGO 13'!$H13</f>
        <v>32136</v>
      </c>
    </row>
    <row r="14" spans="2:10" ht="15">
      <c r="B14" s="39">
        <v>43284</v>
      </c>
      <c r="C14" s="3">
        <f>C13-D13+11</f>
        <v>29</v>
      </c>
      <c r="D14" s="3">
        <v>7</v>
      </c>
      <c r="E14" s="68">
        <f t="shared" si="0"/>
        <v>2130</v>
      </c>
      <c r="F14" s="3"/>
      <c r="G14" s="3">
        <f>'CARGO 13'!$D14*'CARGO 13'!$E14</f>
        <v>14910</v>
      </c>
      <c r="H14" s="3">
        <f>12000</f>
        <v>12000</v>
      </c>
      <c r="I14" s="3">
        <f>I13+'CARGO 13'!$H14</f>
        <v>264504</v>
      </c>
      <c r="J14" s="42">
        <f>J13+'CARGO 13'!$G14-'CARGO 13'!$F14-'CARGO 13'!$H14</f>
        <v>35046</v>
      </c>
    </row>
    <row r="15" spans="2:10" ht="15">
      <c r="B15" s="39">
        <v>43285</v>
      </c>
      <c r="C15" s="3">
        <f>C14-D14</f>
        <v>22</v>
      </c>
      <c r="D15" s="3">
        <v>8</v>
      </c>
      <c r="E15" s="68">
        <f t="shared" si="0"/>
        <v>2130</v>
      </c>
      <c r="F15" s="3"/>
      <c r="G15" s="3">
        <f>'CARGO 13'!$D15*'CARGO 13'!$E15</f>
        <v>17040</v>
      </c>
      <c r="H15" s="3">
        <f>10800+9410+10400</f>
        <v>30610</v>
      </c>
      <c r="I15" s="3">
        <f>I14+'CARGO 13'!$H15</f>
        <v>295114</v>
      </c>
      <c r="J15" s="42">
        <f>J14+'CARGO 13'!$G15-'CARGO 13'!$F15-'CARGO 13'!$H15</f>
        <v>21476</v>
      </c>
    </row>
    <row r="16" spans="2:10" ht="15">
      <c r="B16" s="39">
        <v>43286</v>
      </c>
      <c r="C16" s="3">
        <f>C15-D15+17</f>
        <v>31</v>
      </c>
      <c r="D16" s="3">
        <v>10</v>
      </c>
      <c r="E16" s="68">
        <f t="shared" si="0"/>
        <v>2130</v>
      </c>
      <c r="F16" s="3"/>
      <c r="G16" s="3">
        <f>'CARGO 13'!$D16*'CARGO 13'!$E16</f>
        <v>21300</v>
      </c>
      <c r="H16" s="3">
        <f>4510+17040+5000</f>
        <v>26550</v>
      </c>
      <c r="I16" s="3">
        <f>I15+'CARGO 13'!$H16</f>
        <v>321664</v>
      </c>
      <c r="J16" s="42">
        <f>J15+'CARGO 13'!$G16-'CARGO 13'!$F16-'CARGO 13'!$H16</f>
        <v>16226</v>
      </c>
    </row>
    <row r="17" spans="2:10" ht="15">
      <c r="B17" s="39">
        <v>43287</v>
      </c>
      <c r="C17" s="31">
        <f>C16-D16</f>
        <v>21</v>
      </c>
      <c r="D17" s="3"/>
      <c r="E17" s="68"/>
      <c r="F17" s="3"/>
      <c r="G17" s="3">
        <f>'CARGO 13'!$D17*'CARGO 13'!$E17</f>
        <v>0</v>
      </c>
      <c r="H17" s="3">
        <f>11300+3474+1452</f>
        <v>16226</v>
      </c>
      <c r="I17" s="3">
        <f>I16+'CARGO 13'!$H17</f>
        <v>337890</v>
      </c>
      <c r="J17" s="42">
        <f>J16+'CARGO 13'!$G17-'CARGO 13'!$F17-'CARGO 13'!$H17</f>
        <v>0</v>
      </c>
    </row>
    <row r="18" spans="2:10" ht="15">
      <c r="B18" s="39"/>
      <c r="C18" s="59"/>
      <c r="D18" s="3"/>
      <c r="E18" s="70"/>
      <c r="F18" s="3"/>
      <c r="G18" s="3"/>
      <c r="H18" s="3"/>
      <c r="I18" s="3"/>
      <c r="J18" s="42"/>
    </row>
    <row r="19" spans="2:10" ht="15">
      <c r="B19" s="15"/>
      <c r="C19" s="15"/>
      <c r="D19" s="15">
        <f>SUM(D4:D17)</f>
        <v>161</v>
      </c>
      <c r="E19" s="15"/>
      <c r="F19" s="15">
        <f>SUM(F5:F17)</f>
        <v>5150</v>
      </c>
      <c r="G19" s="15">
        <f>SUM(G5:G17)</f>
        <v>343040</v>
      </c>
      <c r="H19" s="15">
        <f>SUM(H5:H17)</f>
        <v>337890</v>
      </c>
      <c r="I19" s="15"/>
      <c r="J19" s="42"/>
    </row>
    <row r="20" spans="2:10" ht="15">
      <c r="B20" s="63"/>
      <c r="C20" s="64"/>
      <c r="D20" s="64"/>
      <c r="E20" s="64"/>
      <c r="F20" s="64"/>
      <c r="G20" s="64"/>
      <c r="H20" s="64"/>
      <c r="I20" s="64"/>
      <c r="J20" s="65"/>
    </row>
    <row r="23" spans="3:9" ht="18.75">
      <c r="C23" s="142" t="s">
        <v>73</v>
      </c>
      <c r="D23" s="142"/>
      <c r="E23" s="142"/>
      <c r="F23" s="142"/>
      <c r="G23" s="142"/>
      <c r="H23" s="142"/>
      <c r="I23" s="142"/>
    </row>
    <row r="24" spans="2:10" ht="15">
      <c r="B24" s="44" t="s">
        <v>0</v>
      </c>
      <c r="C24" s="45" t="s">
        <v>69</v>
      </c>
      <c r="D24" s="45" t="s">
        <v>70</v>
      </c>
      <c r="E24" s="45" t="s">
        <v>71</v>
      </c>
      <c r="F24" s="45" t="s">
        <v>6</v>
      </c>
      <c r="G24" s="45" t="s">
        <v>72</v>
      </c>
      <c r="H24" s="45" t="s">
        <v>3</v>
      </c>
      <c r="I24" s="45" t="s">
        <v>9</v>
      </c>
      <c r="J24" s="46" t="s">
        <v>8</v>
      </c>
    </row>
    <row r="25" spans="2:10" ht="15">
      <c r="B25" s="56"/>
      <c r="C25" s="28">
        <v>10000</v>
      </c>
      <c r="D25" s="28"/>
      <c r="E25" s="28">
        <v>96.8</v>
      </c>
      <c r="F25" s="50"/>
      <c r="G25" s="50">
        <f>'CARGO 13'!$E25*'CARGO 13'!$C25</f>
        <v>968000</v>
      </c>
      <c r="H25" s="50"/>
      <c r="I25" s="50">
        <f>'CARGO 13'!$G25-'CARGO 13'!$F25</f>
        <v>968000</v>
      </c>
      <c r="J25" s="51">
        <f>'CARGO 13'!$I25-'CARGO 13'!$H25</f>
        <v>968000</v>
      </c>
    </row>
    <row r="26" spans="2:10" ht="15">
      <c r="B26" s="39">
        <v>43274</v>
      </c>
      <c r="C26" s="3">
        <v>10000</v>
      </c>
      <c r="D26" s="3">
        <v>160</v>
      </c>
      <c r="E26" s="68">
        <v>106.5</v>
      </c>
      <c r="F26" s="31"/>
      <c r="G26" s="3">
        <f>'CARGO 13'!$D26*'CARGO 13'!$E26</f>
        <v>17040</v>
      </c>
      <c r="H26" s="31">
        <v>25000</v>
      </c>
      <c r="I26" s="3">
        <f>'CARGO 13'!$H26</f>
        <v>25000</v>
      </c>
      <c r="J26" s="42">
        <f>'CARGO 13'!$G26-'CARGO 13'!$F26-'CARGO 13'!$H26</f>
        <v>-7960</v>
      </c>
    </row>
    <row r="27" spans="2:10" ht="15">
      <c r="B27" s="39">
        <v>43275</v>
      </c>
      <c r="C27" s="3">
        <f aca="true" t="shared" si="1" ref="C27:C38">C26-D26</f>
        <v>9840</v>
      </c>
      <c r="D27" s="25">
        <v>1415</v>
      </c>
      <c r="E27" s="68">
        <v>106.5</v>
      </c>
      <c r="F27" s="30">
        <f>600+1600+500</f>
        <v>2700</v>
      </c>
      <c r="G27" s="3">
        <f>'CARGO 13'!$D27*'CARGO 13'!$E27</f>
        <v>150697.5</v>
      </c>
      <c r="H27" s="30"/>
      <c r="I27" s="3">
        <f>I26+'CARGO 13'!$H27</f>
        <v>25000</v>
      </c>
      <c r="J27" s="42">
        <f>J26+'CARGO 13'!$G27-'CARGO 13'!$F27-'CARGO 13'!$H27</f>
        <v>140037.5</v>
      </c>
    </row>
    <row r="28" spans="2:10" ht="15">
      <c r="B28" s="39">
        <v>43276</v>
      </c>
      <c r="C28" s="31">
        <f t="shared" si="1"/>
        <v>8425</v>
      </c>
      <c r="D28" s="3">
        <v>543</v>
      </c>
      <c r="E28" s="68">
        <v>106.5</v>
      </c>
      <c r="F28" s="3">
        <v>0</v>
      </c>
      <c r="G28" s="3">
        <f>'CARGO 13'!$D28*'CARGO 13'!$E28</f>
        <v>57829.5</v>
      </c>
      <c r="H28" s="3"/>
      <c r="I28" s="3">
        <f>I27+'CARGO 13'!$H28</f>
        <v>25000</v>
      </c>
      <c r="J28" s="42">
        <f>J27+'CARGO 13'!$G28-'CARGO 13'!$F28-'CARGO 13'!$H28</f>
        <v>197867</v>
      </c>
    </row>
    <row r="29" spans="2:10" ht="15">
      <c r="B29" s="39">
        <v>43277</v>
      </c>
      <c r="C29" s="31">
        <f t="shared" si="1"/>
        <v>7882</v>
      </c>
      <c r="D29" s="3">
        <v>855</v>
      </c>
      <c r="E29" s="68">
        <v>106.5</v>
      </c>
      <c r="F29" s="3">
        <f>500+750</f>
        <v>1250</v>
      </c>
      <c r="G29" s="3">
        <f>'CARGO 13'!$D29*'CARGO 13'!$E29</f>
        <v>91057.5</v>
      </c>
      <c r="H29" s="3">
        <f>14290+55800+10000+1000</f>
        <v>81090</v>
      </c>
      <c r="I29" s="3">
        <f>I28+'CARGO 13'!$H29</f>
        <v>106090</v>
      </c>
      <c r="J29" s="42">
        <f>J28+'CARGO 13'!$G29-'CARGO 13'!$F29-'CARGO 13'!$H29</f>
        <v>206584.5</v>
      </c>
    </row>
    <row r="30" spans="2:10" ht="15">
      <c r="B30" s="39">
        <v>43278</v>
      </c>
      <c r="C30" s="31">
        <f t="shared" si="1"/>
        <v>7027</v>
      </c>
      <c r="D30" s="3">
        <v>1213</v>
      </c>
      <c r="E30" s="68">
        <v>106.5</v>
      </c>
      <c r="F30" s="3">
        <f>950+2040+1033+300</f>
        <v>4323</v>
      </c>
      <c r="G30" s="3">
        <f>'CARGO 13'!$D30*'CARGO 13'!$E30</f>
        <v>129184.5</v>
      </c>
      <c r="H30" s="3">
        <f>100+70000+8778+100+21300+10910</f>
        <v>111188</v>
      </c>
      <c r="I30" s="3">
        <f>I29+'CARGO 13'!$H30</f>
        <v>217278</v>
      </c>
      <c r="J30" s="42">
        <f>J29+'CARGO 13'!$G30-'CARGO 13'!$F30-'CARGO 13'!$H30</f>
        <v>220258</v>
      </c>
    </row>
    <row r="31" spans="2:10" ht="15">
      <c r="B31" s="39">
        <v>43279</v>
      </c>
      <c r="C31" s="31">
        <f t="shared" si="1"/>
        <v>5814</v>
      </c>
      <c r="D31" s="3">
        <v>803</v>
      </c>
      <c r="E31" s="68">
        <v>106.5</v>
      </c>
      <c r="F31" s="3">
        <f>750+500+365</f>
        <v>1615</v>
      </c>
      <c r="G31" s="3">
        <f>'CARGO 13'!$D31*'CARGO 13'!$E31</f>
        <v>85519.5</v>
      </c>
      <c r="H31" s="3">
        <f>500+20100+15140</f>
        <v>35740</v>
      </c>
      <c r="I31" s="3">
        <f>I30+'CARGO 13'!$H31</f>
        <v>253018</v>
      </c>
      <c r="J31" s="42">
        <f>J30+'CARGO 13'!$G31-'CARGO 13'!$F31-'CARGO 13'!$H31</f>
        <v>268422.5</v>
      </c>
    </row>
    <row r="32" spans="2:10" ht="15">
      <c r="B32" s="39">
        <v>43280</v>
      </c>
      <c r="C32" s="31">
        <f t="shared" si="1"/>
        <v>5011</v>
      </c>
      <c r="D32" s="3">
        <v>585</v>
      </c>
      <c r="E32" s="68">
        <v>106.5</v>
      </c>
      <c r="F32" s="3">
        <f>900+5060+10100</f>
        <v>16060</v>
      </c>
      <c r="G32" s="3">
        <f>'CARGO 13'!$D32*'CARGO 13'!$E32</f>
        <v>62302.5</v>
      </c>
      <c r="H32" s="3">
        <f>1000+590+2000+40855</f>
        <v>44445</v>
      </c>
      <c r="I32" s="3">
        <f>I31+'CARGO 13'!$H32</f>
        <v>297463</v>
      </c>
      <c r="J32" s="42">
        <f>J31+'CARGO 13'!$G32-'CARGO 13'!$F32-'CARGO 13'!$H32</f>
        <v>270220</v>
      </c>
    </row>
    <row r="33" spans="2:10" ht="15">
      <c r="B33" s="39">
        <v>43281</v>
      </c>
      <c r="C33" s="31">
        <f t="shared" si="1"/>
        <v>4426</v>
      </c>
      <c r="D33" s="3">
        <v>589</v>
      </c>
      <c r="E33" s="68">
        <v>106.5</v>
      </c>
      <c r="F33" s="3">
        <v>0</v>
      </c>
      <c r="G33" s="3">
        <f>'CARGO 13'!$D33*'CARGO 13'!$E33</f>
        <v>62728.5</v>
      </c>
      <c r="H33" s="3">
        <f>23780+800+100</f>
        <v>24680</v>
      </c>
      <c r="I33" s="3">
        <f>I32+'CARGO 13'!$H33</f>
        <v>322143</v>
      </c>
      <c r="J33" s="42">
        <f>J32+'CARGO 13'!$G33-'CARGO 13'!$F33-'CARGO 13'!$H33</f>
        <v>308268.5</v>
      </c>
    </row>
    <row r="34" spans="2:10" ht="15">
      <c r="B34" s="39">
        <v>43282</v>
      </c>
      <c r="C34" s="31">
        <f t="shared" si="1"/>
        <v>3837</v>
      </c>
      <c r="D34" s="3">
        <v>645</v>
      </c>
      <c r="E34" s="68">
        <v>106.5</v>
      </c>
      <c r="F34" s="3">
        <v>1000</v>
      </c>
      <c r="G34" s="3">
        <f>'CARGO 13'!$D34*'CARGO 13'!$E34</f>
        <v>68692.5</v>
      </c>
      <c r="H34" s="3">
        <f>4000+650+29000+21000</f>
        <v>54650</v>
      </c>
      <c r="I34" s="3">
        <f>I33+'CARGO 13'!$H34</f>
        <v>376793</v>
      </c>
      <c r="J34" s="42">
        <f>J33+'CARGO 13'!$G34-'CARGO 13'!$F34-'CARGO 13'!$H34</f>
        <v>321311</v>
      </c>
    </row>
    <row r="35" spans="2:10" ht="15">
      <c r="B35" s="39">
        <v>43283</v>
      </c>
      <c r="C35" s="31">
        <f t="shared" si="1"/>
        <v>3192</v>
      </c>
      <c r="D35" s="3">
        <v>1016</v>
      </c>
      <c r="E35" s="68">
        <v>106.5</v>
      </c>
      <c r="F35" s="3">
        <f>1150+100+200</f>
        <v>1450</v>
      </c>
      <c r="G35" s="3">
        <f>'CARGO 13'!$D35*'CARGO 13'!$E35</f>
        <v>108204</v>
      </c>
      <c r="H35" s="3">
        <f>150+4500</f>
        <v>4650</v>
      </c>
      <c r="I35" s="3">
        <f>I34+'CARGO 13'!$H35</f>
        <v>381443</v>
      </c>
      <c r="J35" s="42">
        <f>J34+'CARGO 13'!$G35-'CARGO 13'!$F35-'CARGO 13'!$H35</f>
        <v>423415</v>
      </c>
    </row>
    <row r="36" spans="2:11" ht="15">
      <c r="B36" s="39">
        <v>43284</v>
      </c>
      <c r="C36" s="31">
        <f t="shared" si="1"/>
        <v>2176</v>
      </c>
      <c r="D36" s="3">
        <v>586</v>
      </c>
      <c r="E36" s="68">
        <v>106.5</v>
      </c>
      <c r="F36" s="3">
        <f>1000+300+550</f>
        <v>1850</v>
      </c>
      <c r="G36" s="3">
        <f>'CARGO 13'!$D36*'CARGO 13'!$E36</f>
        <v>62409</v>
      </c>
      <c r="H36" s="3">
        <f>4000+700+400+500+70000+800+200</f>
        <v>76600</v>
      </c>
      <c r="I36" s="3">
        <f>I35+'CARGO 13'!$H36</f>
        <v>458043</v>
      </c>
      <c r="J36" s="42">
        <f>J35+'CARGO 13'!$G36-'CARGO 13'!$F36-'CARGO 13'!$H36</f>
        <v>407374</v>
      </c>
      <c r="K36">
        <v>2500</v>
      </c>
    </row>
    <row r="37" spans="2:11" ht="15">
      <c r="B37" s="39">
        <v>43285</v>
      </c>
      <c r="C37" s="31">
        <f t="shared" si="1"/>
        <v>1590</v>
      </c>
      <c r="D37" s="3">
        <v>540</v>
      </c>
      <c r="E37" s="68">
        <v>106.5</v>
      </c>
      <c r="F37" s="3">
        <f>200+2500</f>
        <v>2700</v>
      </c>
      <c r="G37" s="3">
        <f>'CARGO 13'!$D37*'CARGO 13'!$E37</f>
        <v>57510</v>
      </c>
      <c r="H37" s="3">
        <v>1400</v>
      </c>
      <c r="I37" s="3">
        <f>I36+'CARGO 13'!$H37</f>
        <v>459443</v>
      </c>
      <c r="J37" s="42">
        <f>J36+'CARGO 13'!$G37-'CARGO 13'!$F37-'CARGO 13'!$H37</f>
        <v>460784</v>
      </c>
      <c r="K37">
        <v>1050</v>
      </c>
    </row>
    <row r="38" spans="2:11" ht="15">
      <c r="B38" s="39">
        <v>43286</v>
      </c>
      <c r="C38" s="31">
        <f t="shared" si="1"/>
        <v>1050</v>
      </c>
      <c r="D38" s="3">
        <v>984</v>
      </c>
      <c r="E38" s="68">
        <v>106.5</v>
      </c>
      <c r="F38" s="3">
        <f>25110+700+850+500+250</f>
        <v>27410</v>
      </c>
      <c r="G38" s="3">
        <f>'CARGO 13'!$D38*'CARGO 13'!$E38</f>
        <v>104796</v>
      </c>
      <c r="H38" s="3">
        <f>60000+600</f>
        <v>60600</v>
      </c>
      <c r="I38" s="3">
        <f>I37+'CARGO 13'!$H38</f>
        <v>520043</v>
      </c>
      <c r="J38" s="42">
        <f>J37+'CARGO 13'!$G38-'CARGO 13'!$F38-'CARGO 13'!$H38</f>
        <v>477570</v>
      </c>
      <c r="K38">
        <v>2040</v>
      </c>
    </row>
    <row r="39" spans="2:11" ht="15">
      <c r="B39" s="39">
        <v>43287</v>
      </c>
      <c r="C39" s="31">
        <f>C38-D38</f>
        <v>66</v>
      </c>
      <c r="D39" s="3"/>
      <c r="E39" s="68">
        <v>106.5</v>
      </c>
      <c r="F39" s="3">
        <f>6000+21500+5800</f>
        <v>33300</v>
      </c>
      <c r="G39" s="3">
        <f>'CARGO 13'!$D39*'CARGO 13'!$E39</f>
        <v>0</v>
      </c>
      <c r="H39" s="3">
        <f>36750+2000</f>
        <v>38750</v>
      </c>
      <c r="I39" s="3">
        <f>I37+'CARGO 13'!$H39</f>
        <v>498193</v>
      </c>
      <c r="J39" s="42">
        <f>J37+'CARGO 13'!$G39-'CARGO 13'!$F39-'CARGO 13'!$H39</f>
        <v>388734</v>
      </c>
      <c r="K39">
        <v>10100</v>
      </c>
    </row>
    <row r="40" spans="2:11" ht="15">
      <c r="B40" s="39"/>
      <c r="C40" s="59"/>
      <c r="D40" s="3"/>
      <c r="E40" s="70"/>
      <c r="F40" s="3"/>
      <c r="G40" s="3"/>
      <c r="H40" s="3"/>
      <c r="I40" s="3"/>
      <c r="J40" s="42"/>
      <c r="K40">
        <v>5060</v>
      </c>
    </row>
    <row r="41" spans="2:11" ht="15">
      <c r="B41" s="15"/>
      <c r="C41" s="15"/>
      <c r="D41" s="15">
        <f>SUM(D25:D39)</f>
        <v>9934</v>
      </c>
      <c r="E41" s="15"/>
      <c r="F41" s="15">
        <f>SUM(F26:F39)</f>
        <v>93658</v>
      </c>
      <c r="G41" s="15">
        <f>SUM(G26:G39)</f>
        <v>1057971</v>
      </c>
      <c r="H41" s="15">
        <f>SUM(H26:H39)</f>
        <v>558793</v>
      </c>
      <c r="I41" s="15"/>
      <c r="J41" s="42"/>
      <c r="K41">
        <v>25110</v>
      </c>
    </row>
    <row r="42" spans="2:10" ht="15">
      <c r="B42" s="39"/>
      <c r="C42" s="31"/>
      <c r="D42" s="48"/>
      <c r="E42" s="68">
        <v>106.5</v>
      </c>
      <c r="F42" s="48"/>
      <c r="G42" s="3"/>
      <c r="H42" s="48"/>
      <c r="I42" s="3"/>
      <c r="J42" s="42"/>
    </row>
    <row r="43" spans="2:11" ht="15">
      <c r="B43" s="60" t="s">
        <v>26</v>
      </c>
      <c r="C43" s="8"/>
      <c r="D43" s="8">
        <f>D19*20</f>
        <v>3220</v>
      </c>
      <c r="E43" s="68"/>
      <c r="F43" s="8">
        <f>F19</f>
        <v>5150</v>
      </c>
      <c r="G43" s="8">
        <f>G19</f>
        <v>343040</v>
      </c>
      <c r="H43" s="8">
        <f>H19</f>
        <v>337890</v>
      </c>
      <c r="I43" s="8"/>
      <c r="J43" s="61"/>
      <c r="K43">
        <f>SUM(K36:K42)</f>
        <v>45860</v>
      </c>
    </row>
    <row r="44" spans="2:10" ht="15">
      <c r="B44" s="63"/>
      <c r="C44" s="64"/>
      <c r="D44" s="64"/>
      <c r="E44" s="64"/>
      <c r="F44" s="64"/>
      <c r="G44" s="64">
        <f>G41-G43</f>
        <v>714931</v>
      </c>
      <c r="H44" s="64">
        <f>H41+H43</f>
        <v>896683</v>
      </c>
      <c r="I44" s="64">
        <f>G41-H44</f>
        <v>161288</v>
      </c>
      <c r="J44" s="65"/>
    </row>
    <row r="45" spans="3:10" ht="15">
      <c r="C45" s="62" t="s">
        <v>52</v>
      </c>
      <c r="D45" s="53">
        <f>C17*20</f>
        <v>420</v>
      </c>
      <c r="E45" s="12"/>
      <c r="F45" s="12"/>
      <c r="G45" s="12"/>
      <c r="H45" s="12"/>
      <c r="I45" s="20"/>
      <c r="J45" s="17"/>
    </row>
    <row r="46" spans="3:10" ht="15">
      <c r="C46" s="12" t="s">
        <v>51</v>
      </c>
      <c r="D46" s="53">
        <f>D41-D43-D45</f>
        <v>6294</v>
      </c>
      <c r="E46" s="12"/>
      <c r="F46" s="12" t="s">
        <v>50</v>
      </c>
      <c r="G46" s="53">
        <f>D46*E42</f>
        <v>670311</v>
      </c>
      <c r="H46" s="12"/>
      <c r="I46" s="20"/>
      <c r="J46" s="17"/>
    </row>
    <row r="47" spans="4:10" ht="15">
      <c r="D47" s="12"/>
      <c r="E47" s="12"/>
      <c r="F47" s="12" t="s">
        <v>53</v>
      </c>
      <c r="G47" s="53">
        <f>G46-F41-H41</f>
        <v>17860</v>
      </c>
      <c r="H47" s="53">
        <f>G43-F43-H43</f>
        <v>0</v>
      </c>
      <c r="I47" s="20"/>
      <c r="J47" s="55">
        <f>H44-H27</f>
        <v>896683</v>
      </c>
    </row>
    <row r="48" spans="1:11" ht="15">
      <c r="A48" s="12"/>
      <c r="B48" s="12" t="s">
        <v>60</v>
      </c>
      <c r="C48" s="12">
        <v>369184</v>
      </c>
      <c r="D48" s="12"/>
      <c r="E48" s="12"/>
      <c r="F48" s="12" t="s">
        <v>48</v>
      </c>
      <c r="G48" s="53">
        <f>C39*E25</f>
        <v>6388.8</v>
      </c>
      <c r="H48" s="12"/>
      <c r="I48" s="12"/>
      <c r="J48" s="12"/>
      <c r="K48" s="12"/>
    </row>
    <row r="49" ht="15">
      <c r="G49" s="53">
        <f>G47-G48</f>
        <v>11471.2</v>
      </c>
    </row>
    <row r="51" ht="15">
      <c r="H51" s="20"/>
    </row>
    <row r="52" spans="8:9" ht="15">
      <c r="H52" s="20"/>
      <c r="I52" s="20"/>
    </row>
  </sheetData>
  <sheetProtection/>
  <mergeCells count="2">
    <mergeCell ref="C2:I2"/>
    <mergeCell ref="C23:I23"/>
  </mergeCells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B21">
      <selection activeCell="G40" sqref="G40"/>
    </sheetView>
  </sheetViews>
  <sheetFormatPr defaultColWidth="9.140625" defaultRowHeight="15"/>
  <cols>
    <col min="2" max="2" width="11.00390625" style="0" customWidth="1"/>
    <col min="3" max="3" width="18.421875" style="0" customWidth="1"/>
    <col min="5" max="5" width="12.140625" style="0" customWidth="1"/>
    <col min="6" max="6" width="15.00390625" style="0" customWidth="1"/>
    <col min="7" max="7" width="13.421875" style="0" customWidth="1"/>
    <col min="8" max="8" width="13.140625" style="0" customWidth="1"/>
    <col min="9" max="9" width="14.421875" style="0" customWidth="1"/>
    <col min="10" max="10" width="10.28125" style="0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0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</row>
    <row r="4" spans="2:10" ht="15">
      <c r="B4" s="56"/>
      <c r="C4" s="28"/>
      <c r="D4" s="28"/>
      <c r="E4" s="28">
        <v>96</v>
      </c>
      <c r="F4" s="50"/>
      <c r="G4" s="50">
        <f>'CARGO 14'!$E4*'CARGO 14'!$C4</f>
        <v>0</v>
      </c>
      <c r="H4" s="50"/>
      <c r="I4" s="50">
        <f>'CARGO 14'!$G4-'CARGO 14'!$F4</f>
        <v>0</v>
      </c>
      <c r="J4" s="51">
        <f>'CARGO 14'!$I4-'CARGO 14'!$H4</f>
        <v>0</v>
      </c>
    </row>
    <row r="5" spans="2:10" ht="15">
      <c r="B5" s="39">
        <v>43287</v>
      </c>
      <c r="C5" s="3">
        <v>21</v>
      </c>
      <c r="D5" s="3">
        <v>13</v>
      </c>
      <c r="E5" s="68">
        <f>20*106.5</f>
        <v>2130</v>
      </c>
      <c r="F5" s="31">
        <v>10100</v>
      </c>
      <c r="G5" s="3">
        <f>'CARGO 14'!$D5*'CARGO 14'!$E5</f>
        <v>27690</v>
      </c>
      <c r="H5" s="31"/>
      <c r="I5" s="3">
        <f>'CARGO 14'!$H5</f>
        <v>0</v>
      </c>
      <c r="J5" s="42">
        <f>'CARGO 14'!$G5-'CARGO 14'!$F5-'CARGO 14'!$H5</f>
        <v>17590</v>
      </c>
    </row>
    <row r="6" spans="2:10" ht="15">
      <c r="B6" s="39">
        <v>43288</v>
      </c>
      <c r="C6" s="3">
        <f>C5-D5+20</f>
        <v>28</v>
      </c>
      <c r="D6" s="25">
        <v>7</v>
      </c>
      <c r="E6" s="68">
        <f>20*106.5</f>
        <v>2130</v>
      </c>
      <c r="F6" s="30">
        <v>5078</v>
      </c>
      <c r="G6" s="3">
        <f>'CARGO 14'!$D6*'CARGO 14'!$E6</f>
        <v>14910</v>
      </c>
      <c r="H6" s="30">
        <v>10000</v>
      </c>
      <c r="I6" s="3">
        <f>I5+'CARGO 14'!$H6</f>
        <v>10000</v>
      </c>
      <c r="J6" s="42">
        <f>J5+'CARGO 14'!$G6-'CARGO 14'!$F6-'CARGO 14'!$H6</f>
        <v>17422</v>
      </c>
    </row>
    <row r="7" spans="2:10" ht="15">
      <c r="B7" s="39">
        <v>43289</v>
      </c>
      <c r="C7" s="3">
        <f>C6-D6+20</f>
        <v>41</v>
      </c>
      <c r="D7" s="3">
        <v>15</v>
      </c>
      <c r="E7" s="68">
        <f aca="true" t="shared" si="0" ref="E7:E16">20*106.5</f>
        <v>2130</v>
      </c>
      <c r="F7" s="3">
        <v>2500</v>
      </c>
      <c r="G7" s="3">
        <f>'CARGO 14'!$D7*'CARGO 14'!$E7</f>
        <v>31950</v>
      </c>
      <c r="H7" s="3">
        <f>2500+14910</f>
        <v>17410</v>
      </c>
      <c r="I7" s="3">
        <f>I6+'CARGO 14'!$H7</f>
        <v>27410</v>
      </c>
      <c r="J7" s="42">
        <f>J6+'CARGO 14'!$G7-'CARGO 14'!$F7-'CARGO 14'!$H7</f>
        <v>29462</v>
      </c>
    </row>
    <row r="8" spans="2:10" ht="15">
      <c r="B8" s="39">
        <v>43290</v>
      </c>
      <c r="C8" s="3">
        <f aca="true" t="shared" si="1" ref="C8:C17">C7-D7</f>
        <v>26</v>
      </c>
      <c r="D8" s="3">
        <v>10</v>
      </c>
      <c r="E8" s="68">
        <f t="shared" si="0"/>
        <v>2130</v>
      </c>
      <c r="F8" s="3"/>
      <c r="G8" s="3">
        <f>'CARGO 14'!$D8*'CARGO 14'!$E8</f>
        <v>21300</v>
      </c>
      <c r="H8" s="3">
        <f>22100+7350</f>
        <v>29450</v>
      </c>
      <c r="I8" s="3">
        <f>I7+'CARGO 14'!$H8</f>
        <v>56860</v>
      </c>
      <c r="J8" s="42">
        <f>J7+'CARGO 14'!$G8-'CARGO 14'!$F8-'CARGO 14'!$H8</f>
        <v>21312</v>
      </c>
    </row>
    <row r="9" spans="2:10" ht="15">
      <c r="B9" s="39">
        <v>43291</v>
      </c>
      <c r="C9" s="3">
        <f t="shared" si="1"/>
        <v>16</v>
      </c>
      <c r="D9" s="3">
        <v>6</v>
      </c>
      <c r="E9" s="68">
        <f t="shared" si="0"/>
        <v>2130</v>
      </c>
      <c r="F9" s="3"/>
      <c r="G9" s="3">
        <f>'CARGO 14'!$D9*'CARGO 14'!$E9</f>
        <v>12780</v>
      </c>
      <c r="H9" s="3">
        <v>10200</v>
      </c>
      <c r="I9" s="3">
        <f>I8+'CARGO 14'!$H9</f>
        <v>67060</v>
      </c>
      <c r="J9" s="42">
        <f>J8+'CARGO 14'!$G9-'CARGO 14'!$F9-'CARGO 14'!$H9</f>
        <v>23892</v>
      </c>
    </row>
    <row r="10" spans="2:10" ht="15">
      <c r="B10" s="39">
        <v>43292</v>
      </c>
      <c r="C10" s="3">
        <f>C9-D9+8</f>
        <v>18</v>
      </c>
      <c r="D10" s="3">
        <v>4</v>
      </c>
      <c r="E10" s="68">
        <f t="shared" si="0"/>
        <v>2130</v>
      </c>
      <c r="F10" s="3"/>
      <c r="G10" s="3">
        <f>'CARGO 14'!$D10*'CARGO 14'!$E10</f>
        <v>8520</v>
      </c>
      <c r="H10" s="3">
        <v>0</v>
      </c>
      <c r="I10" s="3">
        <f>I9+'CARGO 14'!$H10</f>
        <v>67060</v>
      </c>
      <c r="J10" s="42">
        <f>J9+'CARGO 14'!$G10-'CARGO 14'!$F10-'CARGO 14'!$H10</f>
        <v>32412</v>
      </c>
    </row>
    <row r="11" spans="2:10" ht="15">
      <c r="B11" s="39">
        <v>43293</v>
      </c>
      <c r="C11" s="3">
        <f t="shared" si="1"/>
        <v>14</v>
      </c>
      <c r="D11" s="3">
        <v>4</v>
      </c>
      <c r="E11" s="68">
        <f t="shared" si="0"/>
        <v>2130</v>
      </c>
      <c r="F11" s="3"/>
      <c r="G11" s="3">
        <f>'CARGO 14'!$D11*'CARGO 14'!$E11</f>
        <v>8520</v>
      </c>
      <c r="H11" s="3">
        <f>11000</f>
        <v>11000</v>
      </c>
      <c r="I11" s="3">
        <f>I10+'CARGO 14'!$H11</f>
        <v>78060</v>
      </c>
      <c r="J11" s="42">
        <f>J10+'CARGO 14'!$G11-'CARGO 14'!$F11-'CARGO 14'!$H11</f>
        <v>29932</v>
      </c>
    </row>
    <row r="12" spans="2:10" ht="15">
      <c r="B12" s="39">
        <v>43294</v>
      </c>
      <c r="C12" s="3">
        <f>C11-D11+22</f>
        <v>32</v>
      </c>
      <c r="D12" s="3">
        <v>11</v>
      </c>
      <c r="E12" s="68">
        <f t="shared" si="0"/>
        <v>2130</v>
      </c>
      <c r="F12" s="3"/>
      <c r="G12" s="3">
        <f>'CARGO 14'!$D12*'CARGO 14'!$E12</f>
        <v>23430</v>
      </c>
      <c r="H12" s="3">
        <f>8259+8520</f>
        <v>16779</v>
      </c>
      <c r="I12" s="3">
        <f>I11+'CARGO 14'!$H12</f>
        <v>94839</v>
      </c>
      <c r="J12" s="42">
        <f>J11+'CARGO 14'!$G12-'CARGO 14'!$F12-'CARGO 14'!$H12</f>
        <v>36583</v>
      </c>
    </row>
    <row r="13" spans="2:10" ht="15">
      <c r="B13" s="39">
        <v>43295</v>
      </c>
      <c r="C13" s="3">
        <f>C12-D12+13</f>
        <v>34</v>
      </c>
      <c r="D13" s="3">
        <v>15</v>
      </c>
      <c r="E13" s="68">
        <f t="shared" si="0"/>
        <v>2130</v>
      </c>
      <c r="F13" s="3">
        <v>10110</v>
      </c>
      <c r="G13" s="3">
        <f>'CARGO 14'!$D13*'CARGO 14'!$E13</f>
        <v>31950</v>
      </c>
      <c r="H13" s="3">
        <f>23430</f>
        <v>23430</v>
      </c>
      <c r="I13" s="3">
        <f>I12+'CARGO 14'!$H13</f>
        <v>118269</v>
      </c>
      <c r="J13" s="42">
        <f>J12+'CARGO 14'!$G13-'CARGO 14'!$F13-'CARGO 14'!$H13</f>
        <v>34993</v>
      </c>
    </row>
    <row r="14" spans="2:10" ht="15">
      <c r="B14" s="39">
        <v>43296</v>
      </c>
      <c r="C14" s="3">
        <f t="shared" si="1"/>
        <v>19</v>
      </c>
      <c r="D14" s="3">
        <v>4</v>
      </c>
      <c r="E14" s="68">
        <f t="shared" si="0"/>
        <v>2130</v>
      </c>
      <c r="F14" s="3"/>
      <c r="G14" s="3">
        <f>'CARGO 14'!$D14*'CARGO 14'!$E14</f>
        <v>8520</v>
      </c>
      <c r="H14" s="3">
        <v>14000</v>
      </c>
      <c r="I14" s="3">
        <f>I13+'CARGO 14'!$H14</f>
        <v>132269</v>
      </c>
      <c r="J14" s="42">
        <f>J13+'CARGO 14'!$G14-'CARGO 14'!$F14-'CARGO 14'!$H14</f>
        <v>29513</v>
      </c>
    </row>
    <row r="15" spans="2:10" ht="15">
      <c r="B15" s="39">
        <v>43297</v>
      </c>
      <c r="C15" s="3">
        <f>C14-D14+10</f>
        <v>25</v>
      </c>
      <c r="D15" s="3">
        <v>19</v>
      </c>
      <c r="E15" s="68">
        <f t="shared" si="0"/>
        <v>2130</v>
      </c>
      <c r="F15" s="3">
        <v>650</v>
      </c>
      <c r="G15" s="3">
        <f>'CARGO 14'!$D15*'CARGO 14'!$E15</f>
        <v>40470</v>
      </c>
      <c r="H15" s="3">
        <f>15500+5820+8520</f>
        <v>29840</v>
      </c>
      <c r="I15" s="3">
        <f>I14+'CARGO 14'!$H15</f>
        <v>162109</v>
      </c>
      <c r="J15" s="42">
        <f>J14+'CARGO 14'!$G15-'CARGO 14'!$F15-'CARGO 14'!$H15</f>
        <v>39493</v>
      </c>
    </row>
    <row r="16" spans="2:10" ht="15">
      <c r="B16" s="39">
        <v>43298</v>
      </c>
      <c r="C16" s="3">
        <f t="shared" si="1"/>
        <v>6</v>
      </c>
      <c r="D16" s="3">
        <v>5</v>
      </c>
      <c r="E16" s="68">
        <f t="shared" si="0"/>
        <v>2130</v>
      </c>
      <c r="F16" s="3"/>
      <c r="G16" s="3">
        <f>'CARGO 14'!$D16*'CARGO 14'!$E16</f>
        <v>10650</v>
      </c>
      <c r="H16" s="3">
        <f>22700+7500</f>
        <v>30200</v>
      </c>
      <c r="I16" s="3">
        <f>I15+'CARGO 14'!$H16</f>
        <v>192309</v>
      </c>
      <c r="J16" s="42">
        <f>J15+'CARGO 14'!$G16-'CARGO 14'!$F16-'CARGO 14'!$H16</f>
        <v>19943</v>
      </c>
    </row>
    <row r="17" spans="2:10" ht="15">
      <c r="B17" s="39">
        <v>43299</v>
      </c>
      <c r="C17" s="31">
        <f t="shared" si="1"/>
        <v>1</v>
      </c>
      <c r="D17" s="3"/>
      <c r="E17" s="68"/>
      <c r="F17" s="3"/>
      <c r="G17" s="3">
        <f>'CARGO 14'!$D17*'CARGO 14'!$E17</f>
        <v>0</v>
      </c>
      <c r="H17" s="3">
        <v>15200</v>
      </c>
      <c r="I17" s="3">
        <f>I16+'CARGO 14'!$H17</f>
        <v>207509</v>
      </c>
      <c r="J17" s="42">
        <f>J16+'CARGO 14'!$G17-'CARGO 14'!$F17-'CARGO 14'!$H17</f>
        <v>4743</v>
      </c>
    </row>
    <row r="18" spans="2:10" ht="15">
      <c r="B18" s="39"/>
      <c r="C18" s="59"/>
      <c r="D18" s="3"/>
      <c r="E18" s="70"/>
      <c r="F18" s="3"/>
      <c r="G18" s="3"/>
      <c r="H18" s="3"/>
      <c r="I18" s="3"/>
      <c r="J18" s="42"/>
    </row>
    <row r="19" spans="2:12" ht="15">
      <c r="B19" s="15"/>
      <c r="C19" s="15"/>
      <c r="D19" s="15">
        <f>SUM(D4:D17)</f>
        <v>113</v>
      </c>
      <c r="E19" s="15"/>
      <c r="F19" s="15">
        <f>SUM(F5:F17)</f>
        <v>28438</v>
      </c>
      <c r="G19" s="15">
        <f>SUM(G5:G17)</f>
        <v>240690</v>
      </c>
      <c r="H19" s="15">
        <f>SUM(H5:H17)</f>
        <v>207509</v>
      </c>
      <c r="I19" s="15"/>
      <c r="J19" s="42"/>
      <c r="K19" s="20">
        <f>F15+F7</f>
        <v>3150</v>
      </c>
      <c r="L19" s="20">
        <f>F5+F6+F13+F17</f>
        <v>25288</v>
      </c>
    </row>
    <row r="20" spans="2:10" ht="15">
      <c r="B20" s="63"/>
      <c r="C20" s="64"/>
      <c r="D20" s="64"/>
      <c r="E20" s="64"/>
      <c r="F20" s="64"/>
      <c r="G20" s="64"/>
      <c r="H20" s="64"/>
      <c r="I20" s="64"/>
      <c r="J20" s="65"/>
    </row>
    <row r="23" spans="3:9" ht="18.75">
      <c r="C23" s="142" t="s">
        <v>73</v>
      </c>
      <c r="D23" s="142"/>
      <c r="E23" s="142"/>
      <c r="F23" s="142"/>
      <c r="G23" s="142"/>
      <c r="H23" s="142"/>
      <c r="I23" s="142"/>
    </row>
    <row r="24" spans="2:10" ht="15">
      <c r="B24" s="44" t="s">
        <v>0</v>
      </c>
      <c r="C24" s="45" t="s">
        <v>69</v>
      </c>
      <c r="D24" s="45" t="s">
        <v>70</v>
      </c>
      <c r="E24" s="45" t="s">
        <v>71</v>
      </c>
      <c r="F24" s="45" t="s">
        <v>6</v>
      </c>
      <c r="G24" s="45" t="s">
        <v>72</v>
      </c>
      <c r="H24" s="45" t="s">
        <v>3</v>
      </c>
      <c r="I24" s="45" t="s">
        <v>9</v>
      </c>
      <c r="J24" s="46" t="s">
        <v>8</v>
      </c>
    </row>
    <row r="25" spans="2:10" ht="15">
      <c r="B25" s="56"/>
      <c r="C25" s="28">
        <v>10000</v>
      </c>
      <c r="D25" s="28"/>
      <c r="E25" s="28">
        <v>96</v>
      </c>
      <c r="F25" s="50"/>
      <c r="G25" s="50">
        <f>'CARGO 14'!$E25*'CARGO 14'!$C25</f>
        <v>960000</v>
      </c>
      <c r="H25" s="50"/>
      <c r="I25" s="50">
        <f>'CARGO 14'!$G25-'CARGO 14'!$F25</f>
        <v>960000</v>
      </c>
      <c r="J25" s="51">
        <f>'CARGO 14'!$I25-'CARGO 14'!$H25</f>
        <v>960000</v>
      </c>
    </row>
    <row r="26" spans="2:10" ht="15">
      <c r="B26" s="39">
        <v>43287</v>
      </c>
      <c r="C26" s="3">
        <f>10000+420</f>
        <v>10420</v>
      </c>
      <c r="D26" s="3">
        <f>420+656</f>
        <v>1076</v>
      </c>
      <c r="E26" s="68">
        <v>106</v>
      </c>
      <c r="F26" s="31">
        <v>6700</v>
      </c>
      <c r="G26" s="3">
        <f>'CARGO 14'!$D26*'CARGO 14'!$E26</f>
        <v>114056</v>
      </c>
      <c r="H26" s="31">
        <f>30000+800+4000</f>
        <v>34800</v>
      </c>
      <c r="I26" s="3">
        <f>'CARGO 14'!$H26</f>
        <v>34800</v>
      </c>
      <c r="J26" s="42">
        <f>'CARGO 14'!$G26-'CARGO 14'!$F26-'CARGO 14'!$H26</f>
        <v>72556</v>
      </c>
    </row>
    <row r="27" spans="2:10" ht="15">
      <c r="B27" s="39">
        <v>43288</v>
      </c>
      <c r="C27" s="3">
        <f aca="true" t="shared" si="2" ref="C27:C38">C26-D26</f>
        <v>9344</v>
      </c>
      <c r="D27" s="25">
        <v>888</v>
      </c>
      <c r="E27" s="68">
        <v>106</v>
      </c>
      <c r="F27" s="30">
        <f>1500+3060+4061+1000+200</f>
        <v>9821</v>
      </c>
      <c r="G27" s="3">
        <f>'CARGO 14'!$D27*'CARGO 14'!$E27</f>
        <v>94128</v>
      </c>
      <c r="H27" s="30">
        <f>800</f>
        <v>800</v>
      </c>
      <c r="I27" s="3">
        <f>I26+'CARGO 14'!$H27</f>
        <v>35600</v>
      </c>
      <c r="J27" s="42">
        <f>J26+'CARGO 14'!$G27-'CARGO 14'!$F27-'CARGO 14'!$H27</f>
        <v>156063</v>
      </c>
    </row>
    <row r="28" spans="2:10" ht="15">
      <c r="B28" s="39">
        <v>43289</v>
      </c>
      <c r="C28" s="31">
        <f t="shared" si="2"/>
        <v>8456</v>
      </c>
      <c r="D28" s="3">
        <v>1572</v>
      </c>
      <c r="E28" s="68">
        <v>106</v>
      </c>
      <c r="F28" s="3">
        <v>700</v>
      </c>
      <c r="G28" s="3">
        <f>'CARGO 14'!$D28*'CARGO 14'!$E28</f>
        <v>166632</v>
      </c>
      <c r="H28" s="3"/>
      <c r="I28" s="3">
        <f>I27+'CARGO 14'!$H28</f>
        <v>35600</v>
      </c>
      <c r="J28" s="42">
        <f>J27+'CARGO 14'!$G28-'CARGO 14'!$F28-'CARGO 14'!$H28</f>
        <v>321995</v>
      </c>
    </row>
    <row r="29" spans="2:10" ht="15">
      <c r="B29" s="39">
        <v>43290</v>
      </c>
      <c r="C29" s="31">
        <f t="shared" si="2"/>
        <v>6884</v>
      </c>
      <c r="D29" s="3">
        <v>557</v>
      </c>
      <c r="E29" s="68">
        <v>106</v>
      </c>
      <c r="F29" s="3">
        <f>1000+300+250</f>
        <v>1550</v>
      </c>
      <c r="G29" s="3">
        <f>'CARGO 14'!$D29*'CARGO 14'!$E29</f>
        <v>59042</v>
      </c>
      <c r="H29" s="3">
        <f>70000+70000</f>
        <v>140000</v>
      </c>
      <c r="I29" s="3">
        <f>I28+'CARGO 14'!$H29</f>
        <v>175600</v>
      </c>
      <c r="J29" s="42">
        <f>J28+'CARGO 14'!$G29-'CARGO 14'!$F29-'CARGO 14'!$H29</f>
        <v>239487</v>
      </c>
    </row>
    <row r="30" spans="2:10" ht="15">
      <c r="B30" s="39">
        <v>43291</v>
      </c>
      <c r="C30" s="31">
        <f t="shared" si="2"/>
        <v>6327</v>
      </c>
      <c r="D30" s="3">
        <v>915</v>
      </c>
      <c r="E30" s="68">
        <v>106</v>
      </c>
      <c r="F30" s="3">
        <f>10597+5077+3056+200+300</f>
        <v>19230</v>
      </c>
      <c r="G30" s="3">
        <f>'CARGO 14'!$D30*'CARGO 14'!$E30</f>
        <v>96990</v>
      </c>
      <c r="H30" s="3">
        <f>1000+2262+500+70000+1200+900+1000</f>
        <v>76862</v>
      </c>
      <c r="I30" s="3">
        <f>I29+'CARGO 14'!$H30</f>
        <v>252462</v>
      </c>
      <c r="J30" s="42">
        <f>J29+'CARGO 14'!$G30-'CARGO 14'!$F30-'CARGO 14'!$H30</f>
        <v>240385</v>
      </c>
    </row>
    <row r="31" spans="2:10" ht="15">
      <c r="B31" s="39">
        <v>43292</v>
      </c>
      <c r="C31" s="31">
        <f t="shared" si="2"/>
        <v>5412</v>
      </c>
      <c r="D31" s="3">
        <v>485</v>
      </c>
      <c r="E31" s="68">
        <v>106</v>
      </c>
      <c r="F31" s="3">
        <v>0</v>
      </c>
      <c r="G31" s="3">
        <f>'CARGO 14'!$D31*'CARGO 14'!$E31</f>
        <v>51410</v>
      </c>
      <c r="H31" s="3">
        <f>70000+500+300+900+320</f>
        <v>72020</v>
      </c>
      <c r="I31" s="3">
        <f>I30+'CARGO 14'!$H31</f>
        <v>324482</v>
      </c>
      <c r="J31" s="42">
        <f>J30+'CARGO 14'!$G31-'CARGO 14'!$F31-'CARGO 14'!$H31</f>
        <v>219775</v>
      </c>
    </row>
    <row r="32" spans="2:10" ht="15">
      <c r="B32" s="39">
        <v>43293</v>
      </c>
      <c r="C32" s="31">
        <f t="shared" si="2"/>
        <v>4927</v>
      </c>
      <c r="D32" s="3">
        <v>966</v>
      </c>
      <c r="E32" s="68">
        <v>106</v>
      </c>
      <c r="F32" s="3">
        <f>700+500+300+400</f>
        <v>1900</v>
      </c>
      <c r="G32" s="3">
        <f>'CARGO 14'!$D32*'CARGO 14'!$E32</f>
        <v>102396</v>
      </c>
      <c r="H32" s="3">
        <f>1000+70000+33250</f>
        <v>104250</v>
      </c>
      <c r="I32" s="3">
        <f>I31+'CARGO 14'!$H32</f>
        <v>428732</v>
      </c>
      <c r="J32" s="42">
        <f>J31+'CARGO 14'!$G32-'CARGO 14'!$F32-'CARGO 14'!$H32</f>
        <v>216021</v>
      </c>
    </row>
    <row r="33" spans="2:10" ht="15">
      <c r="B33" s="39">
        <v>43294</v>
      </c>
      <c r="C33" s="31">
        <f t="shared" si="2"/>
        <v>3961</v>
      </c>
      <c r="D33" s="3">
        <v>1138</v>
      </c>
      <c r="E33" s="68">
        <v>106</v>
      </c>
      <c r="F33" s="3">
        <f>25000+6000+20000+102+77+105+1100+150+10097+200+200</f>
        <v>63031</v>
      </c>
      <c r="G33" s="3">
        <f>'CARGO 14'!$D33*'CARGO 14'!$E33</f>
        <v>120628</v>
      </c>
      <c r="H33" s="3">
        <f>833+350+485+900</f>
        <v>2568</v>
      </c>
      <c r="I33" s="3">
        <f>I32+'CARGO 14'!$H33</f>
        <v>431300</v>
      </c>
      <c r="J33" s="42">
        <f>J32+'CARGO 14'!$G33-'CARGO 14'!$F33-'CARGO 14'!$H33</f>
        <v>271050</v>
      </c>
    </row>
    <row r="34" spans="2:10" ht="15">
      <c r="B34" s="39">
        <v>43295</v>
      </c>
      <c r="C34" s="31">
        <f t="shared" si="2"/>
        <v>2823</v>
      </c>
      <c r="D34" s="3">
        <v>779</v>
      </c>
      <c r="E34" s="68">
        <v>106</v>
      </c>
      <c r="F34" s="3">
        <f>21900+105+25000+105+700+500+250</f>
        <v>48560</v>
      </c>
      <c r="G34" s="3">
        <f>'CARGO 14'!$D34*'CARGO 14'!$E34</f>
        <v>82574</v>
      </c>
      <c r="H34" s="3">
        <f>450+3000</f>
        <v>3450</v>
      </c>
      <c r="I34" s="3">
        <f>I33+'CARGO 14'!$H34</f>
        <v>434750</v>
      </c>
      <c r="J34" s="42">
        <f>J33+'CARGO 14'!$G34-'CARGO 14'!$F34-'CARGO 14'!$H34</f>
        <v>301614</v>
      </c>
    </row>
    <row r="35" spans="2:10" ht="15">
      <c r="B35" s="39">
        <v>43296</v>
      </c>
      <c r="C35" s="31">
        <f t="shared" si="2"/>
        <v>2044</v>
      </c>
      <c r="D35" s="3">
        <v>416</v>
      </c>
      <c r="E35" s="68">
        <v>106</v>
      </c>
      <c r="F35" s="3">
        <v>0</v>
      </c>
      <c r="G35" s="3">
        <f>'CARGO 14'!$D35*'CARGO 14'!$E35</f>
        <v>44096</v>
      </c>
      <c r="H35" s="3"/>
      <c r="I35" s="3">
        <f>I34+'CARGO 14'!$H35</f>
        <v>434750</v>
      </c>
      <c r="J35" s="42">
        <f>J34+'CARGO 14'!$G35-'CARGO 14'!$F35-'CARGO 14'!$H35</f>
        <v>345710</v>
      </c>
    </row>
    <row r="36" spans="2:10" ht="15">
      <c r="B36" s="39">
        <v>43297</v>
      </c>
      <c r="C36" s="31">
        <f t="shared" si="2"/>
        <v>1628</v>
      </c>
      <c r="D36" s="3">
        <v>1171</v>
      </c>
      <c r="E36" s="68">
        <v>106</v>
      </c>
      <c r="F36" s="3">
        <f>500+300</f>
        <v>800</v>
      </c>
      <c r="G36" s="3">
        <f>'CARGO 14'!$D36*'CARGO 14'!$E36</f>
        <v>124126</v>
      </c>
      <c r="H36" s="3">
        <f>70000+900+1073+3050</f>
        <v>75023</v>
      </c>
      <c r="I36" s="3">
        <f>I35+'CARGO 14'!$H36</f>
        <v>509773</v>
      </c>
      <c r="J36" s="42">
        <f>J35+'CARGO 14'!$G36-'CARGO 14'!$F36-'CARGO 14'!$H36</f>
        <v>394013</v>
      </c>
    </row>
    <row r="37" spans="2:10" ht="15">
      <c r="B37" s="39">
        <v>43298</v>
      </c>
      <c r="C37" s="31">
        <f t="shared" si="2"/>
        <v>457</v>
      </c>
      <c r="D37" s="3">
        <v>447</v>
      </c>
      <c r="E37" s="68">
        <v>106</v>
      </c>
      <c r="F37" s="3"/>
      <c r="G37" s="3">
        <f>'CARGO 14'!$D37*'CARGO 14'!$E37</f>
        <v>47382</v>
      </c>
      <c r="H37" s="3">
        <f>70000+27085+26200+10000</f>
        <v>133285</v>
      </c>
      <c r="I37" s="3">
        <f>I36+'CARGO 14'!$H37</f>
        <v>643058</v>
      </c>
      <c r="J37" s="42">
        <f>J36+'CARGO 14'!$G37-'CARGO 14'!$F37-'CARGO 14'!$H37</f>
        <v>308110</v>
      </c>
    </row>
    <row r="38" spans="2:10" ht="15">
      <c r="B38" s="39">
        <v>43299</v>
      </c>
      <c r="C38" s="31">
        <f t="shared" si="2"/>
        <v>10</v>
      </c>
      <c r="D38" s="3"/>
      <c r="E38" s="68">
        <v>106</v>
      </c>
      <c r="F38" s="3"/>
      <c r="G38" s="3">
        <f>'CARGO 14'!$D38*'CARGO 14'!$E38</f>
        <v>0</v>
      </c>
      <c r="H38" s="3">
        <f>11000+4180+19500</f>
        <v>34680</v>
      </c>
      <c r="I38" s="3">
        <f>I37+'CARGO 14'!$H38</f>
        <v>677738</v>
      </c>
      <c r="J38" s="42">
        <f>J37+'CARGO 14'!$G38-'CARGO 14'!$F38-'CARGO 14'!$H38</f>
        <v>273430</v>
      </c>
    </row>
    <row r="39" spans="2:10" ht="15">
      <c r="B39" s="39">
        <v>43300</v>
      </c>
      <c r="C39" s="31">
        <f>C38-D38</f>
        <v>10</v>
      </c>
      <c r="D39" s="3"/>
      <c r="E39" s="68">
        <v>106</v>
      </c>
      <c r="F39" s="3"/>
      <c r="G39" s="3">
        <f>'CARGO 14'!$D39*'CARGO 14'!$E39</f>
        <v>0</v>
      </c>
      <c r="H39" s="3"/>
      <c r="I39" s="3">
        <f>I37+'CARGO 14'!$H39</f>
        <v>643058</v>
      </c>
      <c r="J39" s="42">
        <f>J37+'CARGO 14'!$G39-'CARGO 14'!$F39-'CARGO 14'!$H39</f>
        <v>308110</v>
      </c>
    </row>
    <row r="40" spans="2:12" ht="15">
      <c r="B40" s="15"/>
      <c r="C40" s="15"/>
      <c r="D40" s="15">
        <f>SUM(D25:D39)</f>
        <v>10410</v>
      </c>
      <c r="E40" s="15"/>
      <c r="F40" s="15">
        <f>SUM(F26:F39)</f>
        <v>152292</v>
      </c>
      <c r="G40" s="15">
        <f>SUM(G26:G39)</f>
        <v>1103460</v>
      </c>
      <c r="H40" s="15">
        <f>SUM(H26:H39)</f>
        <v>677738</v>
      </c>
      <c r="I40" s="15"/>
      <c r="J40" s="42"/>
      <c r="K40">
        <v>11250</v>
      </c>
      <c r="L40">
        <f>'CARGO 14'!$F40-K40</f>
        <v>141042</v>
      </c>
    </row>
    <row r="41" spans="2:10" ht="15">
      <c r="B41" s="39"/>
      <c r="C41" s="31"/>
      <c r="D41" s="48"/>
      <c r="E41" s="68">
        <v>106</v>
      </c>
      <c r="F41" s="48"/>
      <c r="G41" s="3"/>
      <c r="H41" s="48"/>
      <c r="I41" s="3"/>
      <c r="J41" s="42"/>
    </row>
    <row r="42" spans="2:10" ht="15">
      <c r="B42" s="60" t="s">
        <v>26</v>
      </c>
      <c r="C42" s="8"/>
      <c r="D42" s="8">
        <f>D19*20</f>
        <v>2260</v>
      </c>
      <c r="E42" s="68"/>
      <c r="F42" s="8">
        <f>F19</f>
        <v>28438</v>
      </c>
      <c r="G42" s="8">
        <f>G19</f>
        <v>240690</v>
      </c>
      <c r="H42" s="8">
        <f>H19</f>
        <v>207509</v>
      </c>
      <c r="I42" s="8"/>
      <c r="J42" s="61"/>
    </row>
    <row r="43" spans="2:10" ht="15">
      <c r="B43" s="63"/>
      <c r="C43" s="64"/>
      <c r="D43" s="64"/>
      <c r="E43" s="64"/>
      <c r="F43" s="64"/>
      <c r="G43" s="64"/>
      <c r="H43" s="64">
        <f>H40+H42</f>
        <v>885247</v>
      </c>
      <c r="I43" s="64">
        <f>G40-H43</f>
        <v>218213</v>
      </c>
      <c r="J43" s="65"/>
    </row>
    <row r="44" spans="3:10" ht="15">
      <c r="C44" s="62" t="s">
        <v>52</v>
      </c>
      <c r="D44" s="53">
        <f>C17*20</f>
        <v>20</v>
      </c>
      <c r="E44" s="12"/>
      <c r="F44" s="12"/>
      <c r="G44" s="12"/>
      <c r="H44" s="12"/>
      <c r="I44" s="20"/>
      <c r="J44" s="17"/>
    </row>
    <row r="45" spans="3:10" ht="15">
      <c r="C45" s="12" t="s">
        <v>51</v>
      </c>
      <c r="D45" s="53">
        <f>D40-D42-D44</f>
        <v>8130</v>
      </c>
      <c r="E45" s="12"/>
      <c r="F45" s="12" t="s">
        <v>50</v>
      </c>
      <c r="G45" s="53">
        <f>D45*E41</f>
        <v>861780</v>
      </c>
      <c r="H45" s="12"/>
      <c r="I45" s="20"/>
      <c r="J45" s="17"/>
    </row>
    <row r="46" spans="4:10" ht="15">
      <c r="D46" s="12"/>
      <c r="E46" s="12"/>
      <c r="F46" s="12" t="s">
        <v>53</v>
      </c>
      <c r="G46" s="53">
        <f>G45-F40-H40</f>
        <v>31750</v>
      </c>
      <c r="H46" s="53">
        <f>G42-F42-H42</f>
        <v>4743</v>
      </c>
      <c r="I46" s="20"/>
      <c r="J46" s="55">
        <f>H43-H27</f>
        <v>884447</v>
      </c>
    </row>
    <row r="47" spans="2:8" s="12" customFormat="1" ht="15">
      <c r="B47" s="12" t="s">
        <v>60</v>
      </c>
      <c r="C47" s="12">
        <v>369184</v>
      </c>
      <c r="H47" s="53"/>
    </row>
  </sheetData>
  <sheetProtection/>
  <mergeCells count="2">
    <mergeCell ref="C2:I2"/>
    <mergeCell ref="C23:I23"/>
  </mergeCells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2:M237"/>
  <sheetViews>
    <sheetView zoomScalePageLayoutView="0" workbookViewId="0" topLeftCell="A25">
      <selection activeCell="G39" sqref="G39"/>
    </sheetView>
  </sheetViews>
  <sheetFormatPr defaultColWidth="9.140625" defaultRowHeight="15"/>
  <cols>
    <col min="2" max="2" width="11.00390625" style="0" customWidth="1"/>
    <col min="3" max="3" width="18.421875" style="0" customWidth="1"/>
    <col min="5" max="5" width="12.140625" style="0" customWidth="1"/>
    <col min="6" max="6" width="15.00390625" style="0" customWidth="1"/>
    <col min="7" max="7" width="13.421875" style="0" customWidth="1"/>
    <col min="8" max="8" width="13.140625" style="0" customWidth="1"/>
    <col min="9" max="9" width="14.421875" style="0" customWidth="1"/>
    <col min="10" max="10" width="10.28125" style="0" customWidth="1"/>
    <col min="11" max="11" width="10.140625" style="0" bestFit="1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0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</row>
    <row r="4" spans="2:10" ht="15">
      <c r="B4" s="56"/>
      <c r="C4" s="28"/>
      <c r="D4" s="28"/>
      <c r="E4" s="28">
        <v>96</v>
      </c>
      <c r="F4" s="50"/>
      <c r="G4" s="50">
        <f>'CARGO 15'!$E4*'CARGO 15'!$C4</f>
        <v>0</v>
      </c>
      <c r="H4" s="50"/>
      <c r="I4" s="50">
        <f>'CARGO 15'!$G4-'CARGO 15'!$F4</f>
        <v>0</v>
      </c>
      <c r="J4" s="51">
        <f>'CARGO 15'!$I4-'CARGO 15'!$H4</f>
        <v>0</v>
      </c>
    </row>
    <row r="5" spans="2:13" ht="15">
      <c r="B5" s="39">
        <v>43299</v>
      </c>
      <c r="C5" s="3">
        <v>32</v>
      </c>
      <c r="D5" s="3">
        <v>11</v>
      </c>
      <c r="E5" s="68">
        <f>20*110</f>
        <v>2200</v>
      </c>
      <c r="F5" s="31"/>
      <c r="G5" s="94">
        <f>'CARGO 15'!$D5*'CARGO 15'!$E5</f>
        <v>24200</v>
      </c>
      <c r="H5" s="31">
        <v>0</v>
      </c>
      <c r="I5" s="3">
        <f>'CARGO 15'!$H5</f>
        <v>0</v>
      </c>
      <c r="J5" s="42">
        <f>'CARGO 15'!$G5-'CARGO 15'!$F5-'CARGO 15'!$H5</f>
        <v>24200</v>
      </c>
      <c r="M5" s="93"/>
    </row>
    <row r="6" spans="2:10" ht="15">
      <c r="B6" s="39">
        <v>43300</v>
      </c>
      <c r="C6" s="3">
        <f>C5-D5</f>
        <v>21</v>
      </c>
      <c r="D6" s="25">
        <v>5</v>
      </c>
      <c r="E6" s="68">
        <f>20*110</f>
        <v>2200</v>
      </c>
      <c r="F6" s="30"/>
      <c r="G6" s="94">
        <f>'CARGO 15'!$D6*'CARGO 15'!$E6</f>
        <v>11000</v>
      </c>
      <c r="H6" s="94">
        <v>24200</v>
      </c>
      <c r="I6" s="3">
        <f>I5+'CARGO 15'!$H6</f>
        <v>24200</v>
      </c>
      <c r="J6" s="42">
        <f>J5+'CARGO 15'!$G6-'CARGO 15'!$F6-'CARGO 15'!$H6</f>
        <v>11000</v>
      </c>
    </row>
    <row r="7" spans="2:10" ht="15">
      <c r="B7" s="39">
        <v>43301</v>
      </c>
      <c r="C7" s="3">
        <f>C6-D6</f>
        <v>16</v>
      </c>
      <c r="D7" s="3">
        <v>5</v>
      </c>
      <c r="E7" s="68">
        <f>20*110</f>
        <v>2200</v>
      </c>
      <c r="F7" s="3"/>
      <c r="G7" s="94">
        <f>'CARGO 15'!$D7*'CARGO 15'!$E7</f>
        <v>11000</v>
      </c>
      <c r="H7" s="94">
        <f>11000</f>
        <v>11000</v>
      </c>
      <c r="I7" s="3">
        <f>I6+'CARGO 15'!$H7</f>
        <v>35200</v>
      </c>
      <c r="J7" s="42">
        <f>J6+'CARGO 15'!$G7-'CARGO 15'!$F7-'CARGO 15'!$H7</f>
        <v>11000</v>
      </c>
    </row>
    <row r="8" spans="2:12" ht="15">
      <c r="B8" s="39">
        <v>43302</v>
      </c>
      <c r="C8" s="3">
        <f>C7-D7</f>
        <v>11</v>
      </c>
      <c r="D8" s="3">
        <v>4</v>
      </c>
      <c r="E8" s="68">
        <f aca="true" t="shared" si="0" ref="E8:E19">20*109.5</f>
        <v>2190</v>
      </c>
      <c r="F8" s="3"/>
      <c r="G8" s="3">
        <f>'CARGO 15'!$D8*'CARGO 15'!$E8</f>
        <v>8760</v>
      </c>
      <c r="H8" s="3">
        <v>0</v>
      </c>
      <c r="I8" s="3">
        <f>I7+'CARGO 15'!$H8</f>
        <v>35200</v>
      </c>
      <c r="J8" s="42">
        <f>J7+'CARGO 15'!$G8-'CARGO 15'!$F8-'CARGO 15'!$H8</f>
        <v>19760</v>
      </c>
      <c r="L8" s="20"/>
    </row>
    <row r="9" spans="2:10" ht="15">
      <c r="B9" s="39">
        <v>43303</v>
      </c>
      <c r="C9" s="3">
        <f>C8-D8+22</f>
        <v>29</v>
      </c>
      <c r="D9" s="3">
        <v>3</v>
      </c>
      <c r="E9" s="68">
        <f t="shared" si="0"/>
        <v>2190</v>
      </c>
      <c r="F9" s="3"/>
      <c r="G9" s="3">
        <f>'CARGO 15'!$D9*'CARGO 15'!$E9</f>
        <v>6570</v>
      </c>
      <c r="H9" s="94">
        <v>11000</v>
      </c>
      <c r="I9" s="3">
        <f>I8+'CARGO 15'!$H9</f>
        <v>46200</v>
      </c>
      <c r="J9" s="42">
        <f>J8+'CARGO 15'!$G9-'CARGO 15'!$F9-'CARGO 15'!$H9</f>
        <v>15330</v>
      </c>
    </row>
    <row r="10" spans="2:11" ht="15">
      <c r="B10" s="39">
        <v>43304</v>
      </c>
      <c r="C10" s="3">
        <f>C9-D9</f>
        <v>26</v>
      </c>
      <c r="D10" s="3">
        <v>6</v>
      </c>
      <c r="E10" s="68">
        <f t="shared" si="0"/>
        <v>2190</v>
      </c>
      <c r="F10" s="3">
        <f>1250+39</f>
        <v>1289</v>
      </c>
      <c r="G10" s="3">
        <f>'CARGO 15'!$D10*'CARGO 15'!$E10</f>
        <v>13140</v>
      </c>
      <c r="H10" s="3">
        <f>6496+6600</f>
        <v>13096</v>
      </c>
      <c r="I10" s="3">
        <f>I9+'CARGO 15'!$H10</f>
        <v>59296</v>
      </c>
      <c r="J10" s="42">
        <f>J9+'CARGO 15'!$G10-'CARGO 15'!$F10-'CARGO 15'!$H10</f>
        <v>14085</v>
      </c>
      <c r="K10" s="20">
        <f>G8+G9+'CARGO 15'!$G10+G11+G12+G13</f>
        <v>61320</v>
      </c>
    </row>
    <row r="11" spans="2:11" ht="15">
      <c r="B11" s="39">
        <v>43305</v>
      </c>
      <c r="C11" s="3">
        <f>C10-D10</f>
        <v>20</v>
      </c>
      <c r="D11" s="3">
        <v>2</v>
      </c>
      <c r="E11" s="68">
        <f t="shared" si="0"/>
        <v>2190</v>
      </c>
      <c r="F11" s="3"/>
      <c r="G11" s="3">
        <f>'CARGO 15'!$D11*'CARGO 15'!$E11</f>
        <v>4380</v>
      </c>
      <c r="H11" s="3">
        <f>10100</f>
        <v>10100</v>
      </c>
      <c r="I11" s="3">
        <f>I10+'CARGO 15'!$H11</f>
        <v>69396</v>
      </c>
      <c r="J11" s="42">
        <f>J10+'CARGO 15'!$G11-'CARGO 15'!$F11-'CARGO 15'!$H11</f>
        <v>8365</v>
      </c>
      <c r="K11" s="20">
        <f>H10+'CARGO 15'!$H11+H12+H13+H14+F13+F10</f>
        <v>51685</v>
      </c>
    </row>
    <row r="12" spans="2:11" ht="15">
      <c r="B12" s="39">
        <v>43306</v>
      </c>
      <c r="C12" s="3">
        <f>C11-D11</f>
        <v>18</v>
      </c>
      <c r="D12" s="3">
        <v>10</v>
      </c>
      <c r="E12" s="68">
        <f t="shared" si="0"/>
        <v>2190</v>
      </c>
      <c r="F12" s="3"/>
      <c r="G12" s="3">
        <f>'CARGO 15'!$D12*'CARGO 15'!$E12</f>
        <v>21900</v>
      </c>
      <c r="H12" s="3">
        <f>4400+1000</f>
        <v>5400</v>
      </c>
      <c r="I12" s="3">
        <f>I11+'CARGO 15'!$H12</f>
        <v>74796</v>
      </c>
      <c r="J12" s="42">
        <f>J11+'CARGO 15'!$G12-'CARGO 15'!$F12-'CARGO 15'!$H12</f>
        <v>24865</v>
      </c>
      <c r="K12" s="20">
        <f>K10-K11</f>
        <v>9635</v>
      </c>
    </row>
    <row r="13" spans="2:13" ht="15">
      <c r="B13" s="39">
        <v>43307</v>
      </c>
      <c r="C13" s="3">
        <f>C12-D12</f>
        <v>8</v>
      </c>
      <c r="D13" s="3">
        <v>3</v>
      </c>
      <c r="E13" s="68">
        <f t="shared" si="0"/>
        <v>2190</v>
      </c>
      <c r="F13" s="3">
        <v>6500</v>
      </c>
      <c r="G13" s="3">
        <f>'CARGO 15'!$D13*'CARGO 15'!$E13</f>
        <v>6570</v>
      </c>
      <c r="H13" s="3">
        <f>6700</f>
        <v>6700</v>
      </c>
      <c r="I13" s="3">
        <f>I12+'CARGO 15'!$H13</f>
        <v>81496</v>
      </c>
      <c r="J13" s="42">
        <f>J12+'CARGO 15'!$G13-'CARGO 15'!$F13-'CARGO 15'!$H13</f>
        <v>18235</v>
      </c>
      <c r="K13" s="20">
        <f>G17-H18</f>
        <v>1950</v>
      </c>
      <c r="M13" s="92"/>
    </row>
    <row r="14" spans="2:11" ht="15">
      <c r="B14" s="39">
        <v>43308</v>
      </c>
      <c r="C14" s="3">
        <f>C13-D13+42</f>
        <v>47</v>
      </c>
      <c r="D14" s="3">
        <v>5</v>
      </c>
      <c r="E14" s="68">
        <f t="shared" si="0"/>
        <v>2190</v>
      </c>
      <c r="F14" s="3"/>
      <c r="G14" s="94">
        <f>'CARGO 15'!$D14*'CARGO 15'!$E14</f>
        <v>10950</v>
      </c>
      <c r="H14" s="3">
        <f>4000+4600</f>
        <v>8600</v>
      </c>
      <c r="I14" s="3">
        <f>I13+'CARGO 15'!$H14</f>
        <v>90096</v>
      </c>
      <c r="J14" s="42">
        <f>J13+'CARGO 15'!$G14-'CARGO 15'!$F14-'CARGO 15'!$H14</f>
        <v>20585</v>
      </c>
      <c r="K14" s="20">
        <f>K12+K13</f>
        <v>11585</v>
      </c>
    </row>
    <row r="15" spans="2:10" ht="15">
      <c r="B15" s="39">
        <v>43309</v>
      </c>
      <c r="C15" s="3">
        <f>C14-D14</f>
        <v>42</v>
      </c>
      <c r="D15" s="3">
        <v>7</v>
      </c>
      <c r="E15" s="68">
        <f t="shared" si="0"/>
        <v>2190</v>
      </c>
      <c r="F15" s="3"/>
      <c r="G15" s="94">
        <f>'CARGO 15'!$D15*'CARGO 15'!$E15</f>
        <v>15330</v>
      </c>
      <c r="H15" s="94">
        <v>10950</v>
      </c>
      <c r="I15" s="3">
        <f>I14+'CARGO 15'!$H15</f>
        <v>101046</v>
      </c>
      <c r="J15" s="42">
        <f>J14+'CARGO 15'!$G15-'CARGO 15'!$F15-'CARGO 15'!$H15</f>
        <v>24965</v>
      </c>
    </row>
    <row r="16" spans="2:10" ht="15">
      <c r="B16" s="39">
        <v>43310</v>
      </c>
      <c r="C16" s="3">
        <f>C15-D15</f>
        <v>35</v>
      </c>
      <c r="D16" s="3">
        <v>8</v>
      </c>
      <c r="E16" s="68">
        <f t="shared" si="0"/>
        <v>2190</v>
      </c>
      <c r="F16" s="3"/>
      <c r="G16" s="94">
        <f>'CARGO 15'!$D16*'CARGO 15'!$E16</f>
        <v>17520</v>
      </c>
      <c r="H16" s="94">
        <f>15330</f>
        <v>15330</v>
      </c>
      <c r="I16" s="3">
        <f>I15+'CARGO 15'!$H16</f>
        <v>116376</v>
      </c>
      <c r="J16" s="42">
        <f>J15+'CARGO 15'!$G16-'CARGO 15'!$F16-'CARGO 15'!$H16</f>
        <v>27155</v>
      </c>
    </row>
    <row r="17" spans="2:10" ht="15">
      <c r="B17" s="39">
        <v>43311</v>
      </c>
      <c r="C17" s="31">
        <f>C16-D16+15</f>
        <v>42</v>
      </c>
      <c r="D17" s="3">
        <v>23</v>
      </c>
      <c r="E17" s="68">
        <f t="shared" si="0"/>
        <v>2190</v>
      </c>
      <c r="F17" s="3"/>
      <c r="G17" s="3">
        <f>'CARGO 15'!$D17*'CARGO 15'!$E17</f>
        <v>50370</v>
      </c>
      <c r="H17" s="94">
        <f>17520</f>
        <v>17520</v>
      </c>
      <c r="I17" s="3">
        <f>I16+'CARGO 15'!$H17</f>
        <v>133896</v>
      </c>
      <c r="J17" s="42">
        <f>J16+'CARGO 15'!$G17-'CARGO 15'!$F17-'CARGO 15'!$H17</f>
        <v>60005</v>
      </c>
    </row>
    <row r="18" spans="2:10" ht="15">
      <c r="B18" s="39">
        <v>43312</v>
      </c>
      <c r="C18" s="31">
        <f>C17-D17</f>
        <v>19</v>
      </c>
      <c r="D18" s="3">
        <v>4</v>
      </c>
      <c r="E18" s="68">
        <f t="shared" si="0"/>
        <v>2190</v>
      </c>
      <c r="F18" s="3"/>
      <c r="G18" s="3">
        <f>'CARGO 15'!$D18*'CARGO 15'!$E18</f>
        <v>8760</v>
      </c>
      <c r="H18" s="3">
        <f>17300+8600+16220+6300</f>
        <v>48420</v>
      </c>
      <c r="I18" s="3">
        <f>I17+'CARGO 15'!$H18</f>
        <v>182316</v>
      </c>
      <c r="J18" s="42">
        <f>J17+'CARGO 15'!$G18-'CARGO 15'!$F18-'CARGO 15'!$H18</f>
        <v>20345</v>
      </c>
    </row>
    <row r="19" spans="2:10" ht="15">
      <c r="B19" s="39">
        <v>43313</v>
      </c>
      <c r="C19" s="31">
        <f>C18-D18</f>
        <v>15</v>
      </c>
      <c r="D19" s="3"/>
      <c r="E19" s="68">
        <f t="shared" si="0"/>
        <v>2190</v>
      </c>
      <c r="F19" s="3"/>
      <c r="G19" s="3">
        <f>'CARGO 15'!$D19*'CARGO 15'!$E19</f>
        <v>0</v>
      </c>
      <c r="H19" s="3">
        <v>8760</v>
      </c>
      <c r="I19" s="3">
        <f>I18+'CARGO 15'!$H19</f>
        <v>191076</v>
      </c>
      <c r="J19" s="42">
        <f>J18+'CARGO 15'!$G19-'CARGO 15'!$F19-'CARGO 15'!$H19</f>
        <v>11585</v>
      </c>
    </row>
    <row r="20" spans="2:10" ht="15">
      <c r="B20" s="39"/>
      <c r="C20" s="59"/>
      <c r="D20" s="3"/>
      <c r="E20" s="70"/>
      <c r="F20" s="3"/>
      <c r="G20" s="3">
        <f>'CARGO 15'!$D20*'CARGO 15'!$E20</f>
        <v>0</v>
      </c>
      <c r="H20" s="3"/>
      <c r="I20" s="3"/>
      <c r="J20" s="42"/>
    </row>
    <row r="21" spans="2:10" ht="15">
      <c r="B21" s="15"/>
      <c r="C21" s="15"/>
      <c r="D21" s="15">
        <f>SUM(D4:D19)</f>
        <v>96</v>
      </c>
      <c r="E21" s="15"/>
      <c r="F21" s="15">
        <f>SUM(F5:F19)</f>
        <v>7789</v>
      </c>
      <c r="G21" s="15">
        <f>SUM(G5:G19)</f>
        <v>210450</v>
      </c>
      <c r="H21" s="15">
        <f>SUM(H5:H19)</f>
        <v>191076</v>
      </c>
      <c r="I21" s="15"/>
      <c r="J21" s="42"/>
    </row>
    <row r="22" spans="2:10" ht="15">
      <c r="B22" s="63"/>
      <c r="C22" s="64"/>
      <c r="D22" s="64"/>
      <c r="E22" s="64"/>
      <c r="F22" s="64"/>
      <c r="G22" s="64"/>
      <c r="H22" s="64"/>
      <c r="I22" s="64"/>
      <c r="J22" s="65"/>
    </row>
    <row r="25" spans="3:9" ht="18.75">
      <c r="C25" s="142" t="s">
        <v>73</v>
      </c>
      <c r="D25" s="142"/>
      <c r="E25" s="142"/>
      <c r="F25" s="142"/>
      <c r="G25" s="142"/>
      <c r="H25" s="142"/>
      <c r="I25" s="142"/>
    </row>
    <row r="26" spans="2:10" ht="15">
      <c r="B26" s="44" t="s">
        <v>0</v>
      </c>
      <c r="C26" s="45" t="s">
        <v>69</v>
      </c>
      <c r="D26" s="45" t="s">
        <v>70</v>
      </c>
      <c r="E26" s="45" t="s">
        <v>71</v>
      </c>
      <c r="F26" s="45" t="s">
        <v>6</v>
      </c>
      <c r="G26" s="45" t="s">
        <v>72</v>
      </c>
      <c r="H26" s="45" t="s">
        <v>3</v>
      </c>
      <c r="I26" s="45" t="s">
        <v>9</v>
      </c>
      <c r="J26" s="46" t="s">
        <v>8</v>
      </c>
    </row>
    <row r="27" spans="2:12" ht="15">
      <c r="B27" s="56"/>
      <c r="C27" s="28">
        <v>10000</v>
      </c>
      <c r="D27" s="28"/>
      <c r="E27" s="28">
        <v>97.8</v>
      </c>
      <c r="F27" s="50"/>
      <c r="G27" s="50">
        <f>'CARGO 15'!$E27*'CARGO 15'!$C27</f>
        <v>978000</v>
      </c>
      <c r="H27" s="50"/>
      <c r="I27" s="50">
        <f>'CARGO 15'!$G27-'CARGO 15'!$F27</f>
        <v>978000</v>
      </c>
      <c r="J27" s="51">
        <f>'CARGO 15'!$I27-'CARGO 15'!$H27</f>
        <v>978000</v>
      </c>
      <c r="L27">
        <f>1144-507</f>
        <v>637</v>
      </c>
    </row>
    <row r="28" spans="2:10" ht="15">
      <c r="B28" s="39">
        <v>43299</v>
      </c>
      <c r="C28" s="3">
        <f>10000</f>
        <v>10000</v>
      </c>
      <c r="D28" s="3">
        <v>1144</v>
      </c>
      <c r="E28" s="68">
        <v>109</v>
      </c>
      <c r="F28" s="3">
        <f>1527+1300+1600+300+200+250</f>
        <v>5177</v>
      </c>
      <c r="G28" s="3">
        <f>'CARGO 15'!$D28*'CARGO 15'!$E28</f>
        <v>124696</v>
      </c>
      <c r="H28" s="31">
        <v>356</v>
      </c>
      <c r="I28" s="3">
        <f>'CARGO 15'!$H28</f>
        <v>356</v>
      </c>
      <c r="J28" s="42">
        <f>'CARGO 15'!$G28-'CARGO 15'!$F28-'CARGO 15'!$H28</f>
        <v>119163</v>
      </c>
    </row>
    <row r="29" spans="2:10" ht="15">
      <c r="B29" s="39">
        <v>43300</v>
      </c>
      <c r="C29" s="3">
        <f aca="true" t="shared" si="1" ref="C29:C40">C28-D28</f>
        <v>8856</v>
      </c>
      <c r="D29" s="25">
        <v>336</v>
      </c>
      <c r="E29" s="68">
        <v>109</v>
      </c>
      <c r="F29" s="30">
        <v>0</v>
      </c>
      <c r="G29" s="3">
        <f>'CARGO 15'!$D29*'CARGO 15'!$E29</f>
        <v>36624</v>
      </c>
      <c r="H29" s="30">
        <v>0</v>
      </c>
      <c r="I29" s="3">
        <f>I28+'CARGO 15'!$H29</f>
        <v>356</v>
      </c>
      <c r="J29" s="42">
        <f>J28+'CARGO 15'!$G29-'CARGO 15'!$F29-'CARGO 15'!$H29</f>
        <v>155787</v>
      </c>
    </row>
    <row r="30" spans="2:10" ht="15">
      <c r="B30" s="39">
        <v>43301</v>
      </c>
      <c r="C30" s="31">
        <f t="shared" si="1"/>
        <v>8520</v>
      </c>
      <c r="D30" s="3">
        <v>592</v>
      </c>
      <c r="E30" s="68">
        <v>109</v>
      </c>
      <c r="F30" s="3">
        <f>300+3000+700</f>
        <v>4000</v>
      </c>
      <c r="G30" s="3">
        <f>'CARGO 15'!$D30*'CARGO 15'!$E30</f>
        <v>64528</v>
      </c>
      <c r="H30" s="3">
        <f>70000+7147+900+7200</f>
        <v>85247</v>
      </c>
      <c r="I30" s="3">
        <f>I29+'CARGO 15'!$H30</f>
        <v>85603</v>
      </c>
      <c r="J30" s="42">
        <f>J29+'CARGO 15'!$G30-'CARGO 15'!$F30-'CARGO 15'!$H30</f>
        <v>131068</v>
      </c>
    </row>
    <row r="31" spans="2:10" ht="15">
      <c r="B31" s="39">
        <v>43302</v>
      </c>
      <c r="C31" s="31">
        <f t="shared" si="1"/>
        <v>7928</v>
      </c>
      <c r="D31" s="3">
        <v>623</v>
      </c>
      <c r="E31" s="68">
        <v>109</v>
      </c>
      <c r="F31" s="3">
        <v>0</v>
      </c>
      <c r="G31" s="3">
        <f>'CARGO 15'!$D31*'CARGO 15'!$E31</f>
        <v>67907</v>
      </c>
      <c r="H31" s="3">
        <f>1132+40000</f>
        <v>41132</v>
      </c>
      <c r="I31" s="3">
        <f>I30+'CARGO 15'!$H31</f>
        <v>126735</v>
      </c>
      <c r="J31" s="42">
        <f>J30+'CARGO 15'!$G31-'CARGO 15'!$F31-'CARGO 15'!$H31</f>
        <v>157843</v>
      </c>
    </row>
    <row r="32" spans="2:10" ht="15">
      <c r="B32" s="39">
        <v>43303</v>
      </c>
      <c r="C32" s="31">
        <f t="shared" si="1"/>
        <v>7305</v>
      </c>
      <c r="D32" s="3">
        <v>562</v>
      </c>
      <c r="E32" s="68">
        <v>109</v>
      </c>
      <c r="F32" s="3">
        <f>1100</f>
        <v>1100</v>
      </c>
      <c r="G32" s="3">
        <f>'CARGO 15'!$D32*'CARGO 15'!$E32</f>
        <v>61258</v>
      </c>
      <c r="H32" s="3">
        <f>2000+250+200</f>
        <v>2450</v>
      </c>
      <c r="I32" s="3">
        <f>I31+'CARGO 15'!$H32</f>
        <v>129185</v>
      </c>
      <c r="J32" s="42">
        <f>J31+'CARGO 15'!$G32-'CARGO 15'!$F32-'CARGO 15'!$H32</f>
        <v>215551</v>
      </c>
    </row>
    <row r="33" spans="2:10" ht="15">
      <c r="B33" s="39">
        <v>43304</v>
      </c>
      <c r="C33" s="31">
        <f t="shared" si="1"/>
        <v>6743</v>
      </c>
      <c r="D33" s="3">
        <v>476</v>
      </c>
      <c r="E33" s="68">
        <v>109</v>
      </c>
      <c r="F33" s="3">
        <f>8500+87+10500+97+6100+77+300</f>
        <v>25661</v>
      </c>
      <c r="G33" s="3">
        <f>'CARGO 15'!$D33*'CARGO 15'!$E33</f>
        <v>51884</v>
      </c>
      <c r="H33" s="3">
        <f>43980+8400+900</f>
        <v>53280</v>
      </c>
      <c r="I33" s="3">
        <f>I32+'CARGO 15'!$H33</f>
        <v>182465</v>
      </c>
      <c r="J33" s="42">
        <f>J32+'CARGO 15'!$G33-'CARGO 15'!$F33-'CARGO 15'!$H33</f>
        <v>188494</v>
      </c>
    </row>
    <row r="34" spans="2:10" ht="15">
      <c r="B34" s="39">
        <v>43305</v>
      </c>
      <c r="C34" s="31">
        <f t="shared" si="1"/>
        <v>6267</v>
      </c>
      <c r="D34" s="3">
        <v>141</v>
      </c>
      <c r="E34" s="68">
        <v>109</v>
      </c>
      <c r="F34" s="3">
        <v>300</v>
      </c>
      <c r="G34" s="3">
        <f>'CARGO 15'!$D34*'CARGO 15'!$E34</f>
        <v>15369</v>
      </c>
      <c r="H34" s="3">
        <f>5200+51399+43500</f>
        <v>100099</v>
      </c>
      <c r="I34" s="3">
        <f>I33+'CARGO 15'!$H34</f>
        <v>282564</v>
      </c>
      <c r="J34" s="42">
        <f>J33+'CARGO 15'!$G34-'CARGO 15'!$F34-'CARGO 15'!$H34</f>
        <v>103464</v>
      </c>
    </row>
    <row r="35" spans="2:10" ht="15">
      <c r="B35" s="39">
        <v>43306</v>
      </c>
      <c r="C35" s="31">
        <f t="shared" si="1"/>
        <v>6126</v>
      </c>
      <c r="D35" s="3">
        <v>1300</v>
      </c>
      <c r="E35" s="68">
        <v>109</v>
      </c>
      <c r="F35" s="3">
        <v>300</v>
      </c>
      <c r="G35" s="3">
        <f>'CARGO 15'!$D35*'CARGO 15'!$E35</f>
        <v>141700</v>
      </c>
      <c r="H35" s="3">
        <f>4396+430+4000+70000+9350+900</f>
        <v>89076</v>
      </c>
      <c r="I35" s="3">
        <f>I34+'CARGO 15'!$H35</f>
        <v>371640</v>
      </c>
      <c r="J35" s="42">
        <f>J34+'CARGO 15'!$G35-'CARGO 15'!$F35-'CARGO 15'!$H35</f>
        <v>155788</v>
      </c>
    </row>
    <row r="36" spans="2:13" ht="15">
      <c r="B36" s="39">
        <v>43307</v>
      </c>
      <c r="C36" s="31">
        <f t="shared" si="1"/>
        <v>4826</v>
      </c>
      <c r="D36" s="3">
        <v>997</v>
      </c>
      <c r="E36" s="68">
        <v>109</v>
      </c>
      <c r="F36" s="3">
        <f>1053+150+500+10087+5061</f>
        <v>16851</v>
      </c>
      <c r="G36" s="3">
        <f>'CARGO 15'!$D36*'CARGO 15'!$E36</f>
        <v>108673</v>
      </c>
      <c r="H36" s="3">
        <f>1300+30000+300</f>
        <v>31600</v>
      </c>
      <c r="I36" s="3">
        <f>I35+'CARGO 15'!$H36</f>
        <v>403240</v>
      </c>
      <c r="J36" s="42">
        <f>J35+'CARGO 15'!$G36-'CARGO 15'!$F36-'CARGO 15'!$H36</f>
        <v>216010</v>
      </c>
      <c r="M36">
        <v>77</v>
      </c>
    </row>
    <row r="37" spans="2:10" ht="15">
      <c r="B37" s="39">
        <v>43308</v>
      </c>
      <c r="C37" s="31">
        <f t="shared" si="1"/>
        <v>3829</v>
      </c>
      <c r="D37" s="3">
        <v>757</v>
      </c>
      <c r="E37" s="68">
        <v>109</v>
      </c>
      <c r="F37" s="3">
        <f>2041+2100</f>
        <v>4141</v>
      </c>
      <c r="G37" s="3">
        <f>'CARGO 15'!$D37*'CARGO 15'!$E37</f>
        <v>82513</v>
      </c>
      <c r="H37" s="3">
        <f>687+21800</f>
        <v>22487</v>
      </c>
      <c r="I37" s="3">
        <f>I36+'CARGO 15'!$H37</f>
        <v>425727</v>
      </c>
      <c r="J37" s="42">
        <f>J36+'CARGO 15'!$G37-'CARGO 15'!$F37-'CARGO 15'!$H37</f>
        <v>271895</v>
      </c>
    </row>
    <row r="38" spans="2:10" ht="15">
      <c r="B38" s="39">
        <v>43309</v>
      </c>
      <c r="C38" s="31">
        <f t="shared" si="1"/>
        <v>3072</v>
      </c>
      <c r="D38" s="3">
        <v>799</v>
      </c>
      <c r="E38" s="68">
        <v>109</v>
      </c>
      <c r="F38" s="3">
        <f>20000+102</f>
        <v>20102</v>
      </c>
      <c r="G38" s="3">
        <f>'CARGO 15'!$D38*'CARGO 15'!$E38</f>
        <v>87091</v>
      </c>
      <c r="H38" s="3">
        <f>17984+900</f>
        <v>18884</v>
      </c>
      <c r="I38" s="3">
        <f>I37+'CARGO 15'!$H38</f>
        <v>444611</v>
      </c>
      <c r="J38" s="42">
        <f>J37+'CARGO 15'!$G38-'CARGO 15'!$F38-'CARGO 15'!$H38</f>
        <v>320000</v>
      </c>
    </row>
    <row r="39" spans="2:10" ht="15">
      <c r="B39" s="39">
        <v>43310</v>
      </c>
      <c r="C39" s="31">
        <f t="shared" si="1"/>
        <v>2273</v>
      </c>
      <c r="D39" s="3">
        <v>820</v>
      </c>
      <c r="E39" s="68">
        <v>109</v>
      </c>
      <c r="F39" s="3">
        <f>3056+20102+10097</f>
        <v>33255</v>
      </c>
      <c r="G39" s="3" t="s">
        <v>132</v>
      </c>
      <c r="H39" s="3">
        <f>9033+9310+57000+20680</f>
        <v>96023</v>
      </c>
      <c r="I39" s="3">
        <f>I38+'CARGO 15'!$H39</f>
        <v>540634</v>
      </c>
      <c r="J39" s="42" t="e">
        <f>J38+'CARGO 15'!$G39-'CARGO 15'!$F39-'CARGO 15'!$H39</f>
        <v>#VALUE!</v>
      </c>
    </row>
    <row r="40" spans="2:11" ht="15">
      <c r="B40" s="39">
        <v>43311</v>
      </c>
      <c r="C40" s="31">
        <f t="shared" si="1"/>
        <v>1453</v>
      </c>
      <c r="D40" s="3">
        <v>1055</v>
      </c>
      <c r="E40" s="68">
        <v>109</v>
      </c>
      <c r="F40" s="3">
        <f>750+300+200</f>
        <v>1250</v>
      </c>
      <c r="G40" s="3">
        <f>'CARGO 15'!$D40*'CARGO 15'!$E40</f>
        <v>114995</v>
      </c>
      <c r="H40" s="3">
        <f>5550+900+66500+20030</f>
        <v>92980</v>
      </c>
      <c r="I40" s="3">
        <f>I39+'CARGO 15'!$H40</f>
        <v>633614</v>
      </c>
      <c r="J40" s="42" t="e">
        <f>J39+'CARGO 15'!$G40-'CARGO 15'!$F40-'CARGO 15'!$H40</f>
        <v>#VALUE!</v>
      </c>
      <c r="K40" s="20">
        <f>F39+F38+10087+5061+10597+6177+1527+8587</f>
        <v>95393</v>
      </c>
    </row>
    <row r="41" spans="2:10" ht="15">
      <c r="B41" s="39">
        <v>43312</v>
      </c>
      <c r="C41" s="31">
        <f>C40-D40</f>
        <v>398</v>
      </c>
      <c r="D41" s="3">
        <v>398</v>
      </c>
      <c r="E41" s="68">
        <v>109</v>
      </c>
      <c r="F41" s="3"/>
      <c r="G41" s="3">
        <f>'CARGO 15'!$D41*'CARGO 15'!$E41</f>
        <v>43382</v>
      </c>
      <c r="H41" s="3">
        <f>300+1610+10000+900</f>
        <v>12810</v>
      </c>
      <c r="I41" s="3">
        <f>I39+'CARGO 15'!$H41</f>
        <v>553444</v>
      </c>
      <c r="J41" s="42" t="e">
        <f>J39+'CARGO 15'!$G41-'CARGO 15'!$F41-'CARGO 15'!$H41</f>
        <v>#VALUE!</v>
      </c>
    </row>
    <row r="42" spans="2:11" ht="15">
      <c r="B42" s="39">
        <v>43313</v>
      </c>
      <c r="C42" s="31">
        <f>C41-D41</f>
        <v>0</v>
      </c>
      <c r="D42" s="3"/>
      <c r="E42" s="68">
        <v>109</v>
      </c>
      <c r="F42" s="3"/>
      <c r="G42" s="3"/>
      <c r="H42" s="3">
        <f>15000+15402</f>
        <v>30402</v>
      </c>
      <c r="I42" s="3">
        <f>I40+'CARGO 15'!$H42</f>
        <v>664016</v>
      </c>
      <c r="J42" s="42" t="e">
        <f>J40+'CARGO 15'!$G42-'CARGO 15'!$F42-'CARGO 15'!$H42</f>
        <v>#VALUE!</v>
      </c>
      <c r="K42" s="20">
        <f>F45-K40</f>
        <v>16744</v>
      </c>
    </row>
    <row r="43" spans="2:10" ht="15">
      <c r="B43" s="39">
        <v>43314</v>
      </c>
      <c r="C43" s="31">
        <f>C42-D42</f>
        <v>0</v>
      </c>
      <c r="D43" s="3"/>
      <c r="E43" s="68">
        <v>109</v>
      </c>
      <c r="F43" s="3"/>
      <c r="G43" s="3"/>
      <c r="H43" s="3"/>
      <c r="I43" s="3">
        <f>I41+'CARGO 15'!$H43</f>
        <v>553444</v>
      </c>
      <c r="J43" s="42" t="e">
        <f>J41+'CARGO 15'!$G43-'CARGO 15'!$F43-'CARGO 15'!$H43</f>
        <v>#VALUE!</v>
      </c>
    </row>
    <row r="44" spans="2:10" ht="15">
      <c r="B44" s="39"/>
      <c r="C44" s="59"/>
      <c r="D44" s="3"/>
      <c r="E44" s="70"/>
      <c r="F44" s="3"/>
      <c r="G44" s="3"/>
      <c r="H44" s="3"/>
      <c r="I44" s="3"/>
      <c r="J44" s="42"/>
    </row>
    <row r="45" spans="2:10" ht="15">
      <c r="B45" s="15"/>
      <c r="C45" s="15"/>
      <c r="D45" s="15">
        <f>SUM(D28:D44)</f>
        <v>10000</v>
      </c>
      <c r="E45" s="15"/>
      <c r="F45" s="15">
        <f>SUM(F28:F44)</f>
        <v>112137</v>
      </c>
      <c r="G45" s="15">
        <f>SUM(G28:G44)</f>
        <v>1000620</v>
      </c>
      <c r="H45" s="15">
        <f>SUM(H28:H44)</f>
        <v>676826</v>
      </c>
      <c r="I45" s="15"/>
      <c r="J45" s="42"/>
    </row>
    <row r="46" spans="2:10" ht="15">
      <c r="B46" s="39"/>
      <c r="C46" s="31"/>
      <c r="D46" s="48"/>
      <c r="E46" s="68">
        <v>106</v>
      </c>
      <c r="F46" s="48"/>
      <c r="G46" s="3"/>
      <c r="H46" s="48"/>
      <c r="I46" s="3"/>
      <c r="J46" s="42"/>
    </row>
    <row r="47" spans="2:10" ht="15">
      <c r="B47" s="60" t="s">
        <v>26</v>
      </c>
      <c r="C47" s="8"/>
      <c r="D47" s="8">
        <f>D21*20</f>
        <v>1920</v>
      </c>
      <c r="E47" s="68"/>
      <c r="F47" s="8">
        <f>F21</f>
        <v>7789</v>
      </c>
      <c r="G47" s="8">
        <f>G21</f>
        <v>210450</v>
      </c>
      <c r="H47" s="8">
        <f>H21</f>
        <v>191076</v>
      </c>
      <c r="I47" s="8"/>
      <c r="J47" s="61"/>
    </row>
    <row r="48" spans="2:10" ht="15">
      <c r="B48" s="63"/>
      <c r="C48" s="64"/>
      <c r="D48" s="64"/>
      <c r="E48" s="64"/>
      <c r="F48" s="64"/>
      <c r="G48" s="64"/>
      <c r="H48" s="64">
        <f>H45+H47</f>
        <v>867902</v>
      </c>
      <c r="I48" s="64">
        <f>G45-H48</f>
        <v>132718</v>
      </c>
      <c r="J48" s="65"/>
    </row>
    <row r="49" spans="3:10" ht="15">
      <c r="C49" s="62" t="s">
        <v>52</v>
      </c>
      <c r="D49" s="53">
        <f>C16*20</f>
        <v>700</v>
      </c>
      <c r="E49" s="12"/>
      <c r="F49" s="12"/>
      <c r="G49" s="12"/>
      <c r="H49" s="12"/>
      <c r="I49" s="20"/>
      <c r="J49" s="17"/>
    </row>
    <row r="50" spans="3:10" ht="15">
      <c r="C50" s="12" t="s">
        <v>51</v>
      </c>
      <c r="D50" s="53">
        <f>D45-D47-D49</f>
        <v>7380</v>
      </c>
      <c r="E50" s="12"/>
      <c r="F50" s="12" t="s">
        <v>50</v>
      </c>
      <c r="G50" s="53">
        <f>D50*E46</f>
        <v>782280</v>
      </c>
      <c r="H50" s="12"/>
      <c r="I50" s="20"/>
      <c r="J50" s="17"/>
    </row>
    <row r="51" spans="4:10" ht="15">
      <c r="D51" s="12"/>
      <c r="E51" s="12"/>
      <c r="F51" s="12" t="s">
        <v>53</v>
      </c>
      <c r="G51" s="53">
        <f>G50-F45-H45</f>
        <v>-6683</v>
      </c>
      <c r="H51" s="53">
        <f>G47-F47-H47</f>
        <v>11585</v>
      </c>
      <c r="I51" s="20"/>
      <c r="J51" s="55">
        <f>H48-H29</f>
        <v>867902</v>
      </c>
    </row>
    <row r="52" spans="2:3" s="12" customFormat="1" ht="15">
      <c r="B52" s="12" t="s">
        <v>60</v>
      </c>
      <c r="C52" s="12">
        <v>369184</v>
      </c>
    </row>
    <row r="237" ht="15">
      <c r="M237">
        <v>48</v>
      </c>
    </row>
  </sheetData>
  <sheetProtection/>
  <mergeCells count="2">
    <mergeCell ref="C2:I2"/>
    <mergeCell ref="C25:I25"/>
  </mergeCells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2:M237"/>
  <sheetViews>
    <sheetView zoomScalePageLayoutView="0" workbookViewId="0" topLeftCell="A31">
      <selection activeCell="F30" sqref="F30"/>
    </sheetView>
  </sheetViews>
  <sheetFormatPr defaultColWidth="9.140625" defaultRowHeight="15"/>
  <cols>
    <col min="2" max="2" width="11.00390625" style="0" customWidth="1"/>
    <col min="3" max="3" width="18.421875" style="0" customWidth="1"/>
    <col min="5" max="5" width="12.140625" style="0" customWidth="1"/>
    <col min="6" max="6" width="15.00390625" style="0" customWidth="1"/>
    <col min="7" max="7" width="13.421875" style="0" customWidth="1"/>
    <col min="8" max="8" width="13.140625" style="0" customWidth="1"/>
    <col min="9" max="9" width="14.421875" style="0" customWidth="1"/>
    <col min="10" max="10" width="10.28125" style="0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0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</row>
    <row r="4" spans="2:10" ht="15">
      <c r="B4" s="56"/>
      <c r="C4" s="28"/>
      <c r="D4" s="28"/>
      <c r="E4" s="28">
        <v>96</v>
      </c>
      <c r="F4" s="50"/>
      <c r="G4" s="50">
        <f>'CARGO 16'!$E4*'CARGO 16'!$C4</f>
        <v>0</v>
      </c>
      <c r="H4" s="50"/>
      <c r="I4" s="50">
        <f>'CARGO 16'!$G4-'CARGO 16'!$F4</f>
        <v>0</v>
      </c>
      <c r="J4" s="51">
        <f>'CARGO 16'!$I4-'CARGO 16'!$H4</f>
        <v>0</v>
      </c>
    </row>
    <row r="5" spans="2:13" ht="15">
      <c r="B5" s="39">
        <v>43313</v>
      </c>
      <c r="C5" s="3">
        <f>15+21</f>
        <v>36</v>
      </c>
      <c r="D5" s="3">
        <v>5</v>
      </c>
      <c r="E5" s="68">
        <f>20*108.5</f>
        <v>2170</v>
      </c>
      <c r="F5" s="31"/>
      <c r="G5" s="3">
        <f>'CARGO 16'!$D5*'CARGO 16'!$E5</f>
        <v>10850</v>
      </c>
      <c r="H5" s="31">
        <v>11000</v>
      </c>
      <c r="I5" s="3">
        <f>'CARGO 16'!$H5</f>
        <v>11000</v>
      </c>
      <c r="J5" s="42">
        <f>'CARGO 16'!$G5-'CARGO 16'!$F5-'CARGO 16'!$H5</f>
        <v>-150</v>
      </c>
      <c r="M5" s="93"/>
    </row>
    <row r="6" spans="2:10" ht="15">
      <c r="B6" s="39">
        <v>43314</v>
      </c>
      <c r="C6" s="3">
        <f>C5-D5</f>
        <v>31</v>
      </c>
      <c r="D6" s="25">
        <v>2</v>
      </c>
      <c r="E6" s="68">
        <f aca="true" t="shared" si="0" ref="E6:E19">20*108.5</f>
        <v>2170</v>
      </c>
      <c r="F6" s="30">
        <v>1015</v>
      </c>
      <c r="G6" s="3">
        <f>'CARGO 16'!$D6*'CARGO 16'!$E6</f>
        <v>4340</v>
      </c>
      <c r="H6" s="31">
        <f>2350+1600</f>
        <v>3950</v>
      </c>
      <c r="I6" s="3">
        <f>I5+'CARGO 16'!$H6</f>
        <v>14950</v>
      </c>
      <c r="J6" s="42">
        <f>J5+'CARGO 16'!$G6-'CARGO 16'!$F6-'CARGO 16'!$H6</f>
        <v>-775</v>
      </c>
    </row>
    <row r="7" spans="2:10" ht="15">
      <c r="B7" s="39">
        <v>43315</v>
      </c>
      <c r="C7" s="3">
        <f aca="true" t="shared" si="1" ref="C7:C19">C6-D6</f>
        <v>29</v>
      </c>
      <c r="D7" s="3">
        <v>4</v>
      </c>
      <c r="E7" s="68">
        <f t="shared" si="0"/>
        <v>2170</v>
      </c>
      <c r="F7" s="3">
        <v>4000</v>
      </c>
      <c r="G7" s="3">
        <f>'CARGO 16'!$D7*'CARGO 16'!$E7</f>
        <v>8680</v>
      </c>
      <c r="H7" s="31"/>
      <c r="I7" s="3">
        <f>I6+'CARGO 16'!$H7</f>
        <v>14950</v>
      </c>
      <c r="J7" s="42">
        <f>J6+'CARGO 16'!$G7-'CARGO 16'!$F7-'CARGO 16'!$H7</f>
        <v>3905</v>
      </c>
    </row>
    <row r="8" spans="2:12" ht="15">
      <c r="B8" s="39">
        <v>43316</v>
      </c>
      <c r="C8" s="3">
        <f t="shared" si="1"/>
        <v>25</v>
      </c>
      <c r="D8" s="3">
        <v>12</v>
      </c>
      <c r="E8" s="68">
        <f t="shared" si="0"/>
        <v>2170</v>
      </c>
      <c r="F8" s="3">
        <f>8100+110</f>
        <v>8210</v>
      </c>
      <c r="G8" s="3">
        <f>'CARGO 16'!$D8*'CARGO 16'!$E8</f>
        <v>26040</v>
      </c>
      <c r="H8" s="3">
        <f>23595</f>
        <v>23595</v>
      </c>
      <c r="I8" s="3">
        <f>I7+'CARGO 16'!$H8</f>
        <v>38545</v>
      </c>
      <c r="J8" s="42">
        <f>J7+'CARGO 16'!$G8-'CARGO 16'!$F8-'CARGO 16'!$H8</f>
        <v>-1860</v>
      </c>
      <c r="L8" s="20"/>
    </row>
    <row r="9" spans="2:10" ht="15">
      <c r="B9" s="39">
        <v>43317</v>
      </c>
      <c r="C9" s="3">
        <f>C8-D8+10</f>
        <v>23</v>
      </c>
      <c r="D9" s="3">
        <v>7</v>
      </c>
      <c r="E9" s="68">
        <f t="shared" si="0"/>
        <v>2170</v>
      </c>
      <c r="F9" s="3"/>
      <c r="G9" s="3">
        <f>'CARGO 16'!$D9*'CARGO 16'!$E9</f>
        <v>15190</v>
      </c>
      <c r="H9" s="31">
        <f>8800</f>
        <v>8800</v>
      </c>
      <c r="I9" s="3">
        <f>I8+'CARGO 16'!$H9</f>
        <v>47345</v>
      </c>
      <c r="J9" s="42">
        <f>J8+'CARGO 16'!$G9-'CARGO 16'!$F9-'CARGO 16'!$H9</f>
        <v>4530</v>
      </c>
    </row>
    <row r="10" spans="2:11" ht="15">
      <c r="B10" s="39">
        <v>43318</v>
      </c>
      <c r="C10" s="3">
        <f>C9-D9+20</f>
        <v>36</v>
      </c>
      <c r="D10" s="3">
        <v>20</v>
      </c>
      <c r="E10" s="68">
        <f t="shared" si="0"/>
        <v>2170</v>
      </c>
      <c r="F10" s="3">
        <v>2041</v>
      </c>
      <c r="G10" s="3">
        <f>'CARGO 16'!$D10*'CARGO 16'!$E10</f>
        <v>43400</v>
      </c>
      <c r="H10" s="31">
        <f>4000+15190</f>
        <v>19190</v>
      </c>
      <c r="I10" s="3">
        <f>I9+'CARGO 16'!$H10</f>
        <v>66535</v>
      </c>
      <c r="J10" s="42">
        <f>J9+'CARGO 16'!$G10-'CARGO 16'!$F10-'CARGO 16'!$H10</f>
        <v>26699</v>
      </c>
      <c r="K10" s="20">
        <f>G8+G9+'CARGO 16'!$G10+G11+G12+G13</f>
        <v>145390</v>
      </c>
    </row>
    <row r="11" spans="2:11" ht="15">
      <c r="B11" s="39">
        <v>43319</v>
      </c>
      <c r="C11" s="3">
        <f t="shared" si="1"/>
        <v>16</v>
      </c>
      <c r="D11" s="3">
        <v>10</v>
      </c>
      <c r="E11" s="68">
        <f t="shared" si="0"/>
        <v>2170</v>
      </c>
      <c r="F11" s="3">
        <v>2041</v>
      </c>
      <c r="G11" s="3">
        <f>'CARGO 16'!$D11*'CARGO 16'!$E11</f>
        <v>21700</v>
      </c>
      <c r="H11" s="31">
        <f>21595</f>
        <v>21595</v>
      </c>
      <c r="I11" s="3">
        <f>I10+'CARGO 16'!$H11</f>
        <v>88130</v>
      </c>
      <c r="J11" s="42">
        <f>J10+'CARGO 16'!$G11-'CARGO 16'!$F11-'CARGO 16'!$H11</f>
        <v>24763</v>
      </c>
      <c r="K11" s="20">
        <f>H10+'CARGO 16'!$H11+H12+H13+H14+F13+F10</f>
        <v>96167</v>
      </c>
    </row>
    <row r="12" spans="2:11" ht="15">
      <c r="B12" s="39">
        <v>43320</v>
      </c>
      <c r="C12" s="3">
        <f>C11-D11+27</f>
        <v>33</v>
      </c>
      <c r="D12" s="3">
        <v>11</v>
      </c>
      <c r="E12" s="68">
        <f t="shared" si="0"/>
        <v>2170</v>
      </c>
      <c r="F12" s="3"/>
      <c r="G12" s="3">
        <f>'CARGO 16'!$D12*'CARGO 16'!$E12</f>
        <v>23870</v>
      </c>
      <c r="H12" s="31">
        <f>2600+19000</f>
        <v>21600</v>
      </c>
      <c r="I12" s="3">
        <f>I11+'CARGO 16'!$H12</f>
        <v>109730</v>
      </c>
      <c r="J12" s="42">
        <f>J11+'CARGO 16'!$G12-'CARGO 16'!$F12-'CARGO 16'!$H12</f>
        <v>27033</v>
      </c>
      <c r="K12" s="20">
        <f>K10-K11</f>
        <v>49223</v>
      </c>
    </row>
    <row r="13" spans="2:13" ht="15">
      <c r="B13" s="39">
        <v>43321</v>
      </c>
      <c r="C13" s="3">
        <f t="shared" si="1"/>
        <v>22</v>
      </c>
      <c r="D13" s="3">
        <v>7</v>
      </c>
      <c r="E13" s="68">
        <f t="shared" si="0"/>
        <v>2170</v>
      </c>
      <c r="F13" s="3"/>
      <c r="G13" s="3">
        <f>'CARGO 16'!$D13*'CARGO 16'!$E13</f>
        <v>15190</v>
      </c>
      <c r="H13" s="31">
        <f>9194+6567+2480+2200</f>
        <v>20441</v>
      </c>
      <c r="I13" s="3">
        <f>I12+'CARGO 16'!$H13</f>
        <v>130171</v>
      </c>
      <c r="J13" s="42">
        <f>J12+'CARGO 16'!$G13-'CARGO 16'!$F13-'CARGO 16'!$H13</f>
        <v>21782</v>
      </c>
      <c r="K13" s="20">
        <f>G17-H18</f>
        <v>0</v>
      </c>
      <c r="M13" s="92"/>
    </row>
    <row r="14" spans="2:11" ht="15">
      <c r="B14" s="39">
        <v>43322</v>
      </c>
      <c r="C14" s="3">
        <f t="shared" si="1"/>
        <v>15</v>
      </c>
      <c r="D14" s="3">
        <v>2</v>
      </c>
      <c r="E14" s="68">
        <f t="shared" si="0"/>
        <v>2170</v>
      </c>
      <c r="F14" s="3"/>
      <c r="G14" s="3">
        <f>'CARGO 16'!$D14*'CARGO 16'!$E14</f>
        <v>4340</v>
      </c>
      <c r="H14" s="31">
        <f>6900+4400</f>
        <v>11300</v>
      </c>
      <c r="I14" s="3">
        <f>I13+'CARGO 16'!$H14</f>
        <v>141471</v>
      </c>
      <c r="J14" s="42">
        <f>J13+'CARGO 16'!$G14-'CARGO 16'!$F14-'CARGO 16'!$H14</f>
        <v>14822</v>
      </c>
      <c r="K14" s="20">
        <f>K12+K13</f>
        <v>49223</v>
      </c>
    </row>
    <row r="15" spans="2:10" ht="15">
      <c r="B15" s="39">
        <v>43323</v>
      </c>
      <c r="C15" s="3">
        <f t="shared" si="1"/>
        <v>13</v>
      </c>
      <c r="D15" s="3">
        <v>10</v>
      </c>
      <c r="E15" s="68">
        <f t="shared" si="0"/>
        <v>2170</v>
      </c>
      <c r="F15" s="3"/>
      <c r="G15" s="3">
        <f>'CARGO 16'!$D15*'CARGO 16'!$E15</f>
        <v>21700</v>
      </c>
      <c r="H15" s="31">
        <v>8756</v>
      </c>
      <c r="I15" s="3">
        <f>I14+'CARGO 16'!$H15</f>
        <v>150227</v>
      </c>
      <c r="J15" s="42">
        <f>J14+'CARGO 16'!$G15-'CARGO 16'!$F15-'CARGO 16'!$H15</f>
        <v>27766</v>
      </c>
    </row>
    <row r="16" spans="2:10" ht="15">
      <c r="B16" s="39">
        <v>43324</v>
      </c>
      <c r="C16" s="3">
        <f t="shared" si="1"/>
        <v>3</v>
      </c>
      <c r="D16" s="3">
        <v>2</v>
      </c>
      <c r="E16" s="68">
        <f t="shared" si="0"/>
        <v>2170</v>
      </c>
      <c r="F16" s="3"/>
      <c r="G16" s="3">
        <f>'CARGO 16'!$D16*'CARGO 16'!$E16</f>
        <v>4340</v>
      </c>
      <c r="H16" s="3">
        <f>8200</f>
        <v>8200</v>
      </c>
      <c r="I16" s="3">
        <f>I15+'CARGO 16'!$H16</f>
        <v>158427</v>
      </c>
      <c r="J16" s="42">
        <f>J15+'CARGO 16'!$G16-'CARGO 16'!$F16-'CARGO 16'!$H16</f>
        <v>23906</v>
      </c>
    </row>
    <row r="17" spans="2:10" ht="15">
      <c r="B17" s="39">
        <v>43325</v>
      </c>
      <c r="C17" s="3">
        <f t="shared" si="1"/>
        <v>1</v>
      </c>
      <c r="D17" s="3"/>
      <c r="E17" s="68">
        <f t="shared" si="0"/>
        <v>2170</v>
      </c>
      <c r="F17" s="3"/>
      <c r="G17" s="3">
        <f>'CARGO 16'!$D17*'CARGO 16'!$E17</f>
        <v>0</v>
      </c>
      <c r="H17" s="31">
        <f>12000+8250+2480</f>
        <v>22730</v>
      </c>
      <c r="I17" s="3">
        <f>I16+'CARGO 16'!$H17</f>
        <v>181157</v>
      </c>
      <c r="J17" s="42">
        <f>J16+'CARGO 16'!$G17-'CARGO 16'!$F17-'CARGO 16'!$H17</f>
        <v>1176</v>
      </c>
    </row>
    <row r="18" spans="2:10" ht="15">
      <c r="B18" s="39">
        <v>43326</v>
      </c>
      <c r="C18" s="3">
        <f t="shared" si="1"/>
        <v>1</v>
      </c>
      <c r="D18" s="3"/>
      <c r="E18" s="68">
        <f t="shared" si="0"/>
        <v>2170</v>
      </c>
      <c r="F18" s="3"/>
      <c r="G18" s="3">
        <f>'CARGO 16'!$D18*'CARGO 16'!$E18</f>
        <v>0</v>
      </c>
      <c r="H18" s="31"/>
      <c r="I18" s="3">
        <f>I17+'CARGO 16'!$H18</f>
        <v>181157</v>
      </c>
      <c r="J18" s="42">
        <f>J17+'CARGO 16'!$G18-'CARGO 16'!$F18-'CARGO 16'!$H18</f>
        <v>1176</v>
      </c>
    </row>
    <row r="19" spans="2:10" ht="15">
      <c r="B19" s="39">
        <v>43327</v>
      </c>
      <c r="C19" s="3">
        <f t="shared" si="1"/>
        <v>1</v>
      </c>
      <c r="D19" s="3"/>
      <c r="E19" s="68">
        <f t="shared" si="0"/>
        <v>2170</v>
      </c>
      <c r="F19" s="3"/>
      <c r="G19" s="3">
        <f>'CARGO 16'!$D19*'CARGO 16'!$E19</f>
        <v>0</v>
      </c>
      <c r="H19" s="31"/>
      <c r="I19" s="3">
        <f>I18+'CARGO 16'!$H19</f>
        <v>181157</v>
      </c>
      <c r="J19" s="42">
        <f>J18+'CARGO 16'!$G19-'CARGO 16'!$F19-'CARGO 16'!$H19</f>
        <v>1176</v>
      </c>
    </row>
    <row r="20" spans="2:10" ht="15">
      <c r="B20" s="39"/>
      <c r="C20" s="59"/>
      <c r="D20" s="3"/>
      <c r="E20" s="70"/>
      <c r="F20" s="3"/>
      <c r="G20" s="3">
        <f>'CARGO 16'!$D20*'CARGO 16'!$E20</f>
        <v>0</v>
      </c>
      <c r="H20" s="3"/>
      <c r="I20" s="3"/>
      <c r="J20" s="42"/>
    </row>
    <row r="21" spans="2:10" ht="15">
      <c r="B21" s="15"/>
      <c r="C21" s="15"/>
      <c r="D21" s="15">
        <f>SUM(D4:D19)</f>
        <v>92</v>
      </c>
      <c r="E21" s="15"/>
      <c r="F21" s="15">
        <f>SUM(F5:F19)</f>
        <v>17307</v>
      </c>
      <c r="G21" s="15">
        <f>SUM(G5:G19)</f>
        <v>199640</v>
      </c>
      <c r="H21" s="15">
        <f>SUM(H5:H19)</f>
        <v>181157</v>
      </c>
      <c r="I21" s="15"/>
      <c r="J21" s="42"/>
    </row>
    <row r="22" spans="2:10" ht="15">
      <c r="B22" s="63"/>
      <c r="C22" s="64"/>
      <c r="D22" s="64"/>
      <c r="E22" s="64"/>
      <c r="F22" s="64"/>
      <c r="G22" s="64"/>
      <c r="H22" s="64"/>
      <c r="I22" s="64"/>
      <c r="J22" s="65"/>
    </row>
    <row r="23" ht="15">
      <c r="J23" s="20"/>
    </row>
    <row r="24" spans="6:8" ht="15">
      <c r="F24" s="20">
        <f>G15+G16</f>
        <v>26040</v>
      </c>
      <c r="G24" s="20">
        <f>F24-12000+2000</f>
        <v>16040</v>
      </c>
      <c r="H24" s="20"/>
    </row>
    <row r="25" spans="3:9" ht="18.75">
      <c r="C25" s="142" t="s">
        <v>73</v>
      </c>
      <c r="D25" s="142"/>
      <c r="E25" s="142"/>
      <c r="F25" s="142"/>
      <c r="G25" s="142"/>
      <c r="H25" s="142"/>
      <c r="I25" s="142"/>
    </row>
    <row r="26" spans="2:10" ht="15">
      <c r="B26" s="44" t="s">
        <v>0</v>
      </c>
      <c r="C26" s="45" t="s">
        <v>69</v>
      </c>
      <c r="D26" s="45" t="s">
        <v>70</v>
      </c>
      <c r="E26" s="45" t="s">
        <v>71</v>
      </c>
      <c r="F26" s="45" t="s">
        <v>6</v>
      </c>
      <c r="G26" s="45" t="s">
        <v>72</v>
      </c>
      <c r="H26" s="45" t="s">
        <v>3</v>
      </c>
      <c r="I26" s="45" t="s">
        <v>9</v>
      </c>
      <c r="J26" s="46" t="s">
        <v>8</v>
      </c>
    </row>
    <row r="27" spans="2:12" ht="15">
      <c r="B27" s="56"/>
      <c r="C27" s="28">
        <v>10000</v>
      </c>
      <c r="D27" s="28"/>
      <c r="E27" s="28">
        <v>97.8</v>
      </c>
      <c r="F27" s="50"/>
      <c r="G27" s="50">
        <f>'CARGO 16'!$E27*'CARGO 16'!$C27</f>
        <v>978000</v>
      </c>
      <c r="H27" s="50"/>
      <c r="I27" s="50">
        <f>'CARGO 16'!$G27-'CARGO 16'!$F27</f>
        <v>978000</v>
      </c>
      <c r="J27" s="51">
        <f>'CARGO 16'!$I27-'CARGO 16'!$H27</f>
        <v>978000</v>
      </c>
      <c r="L27">
        <f>1144-507</f>
        <v>637</v>
      </c>
    </row>
    <row r="28" spans="2:10" ht="15">
      <c r="B28" s="39">
        <v>43313</v>
      </c>
      <c r="C28" s="3">
        <v>10300</v>
      </c>
      <c r="D28" s="3">
        <f>300+988</f>
        <v>1288</v>
      </c>
      <c r="E28" s="68">
        <v>109</v>
      </c>
      <c r="F28" s="3">
        <f>5071+5071+1053+1050</f>
        <v>12245</v>
      </c>
      <c r="G28" s="3">
        <f>'CARGO 16'!$D28*'CARGO 16'!$E28</f>
        <v>140392</v>
      </c>
      <c r="H28" s="31">
        <v>800</v>
      </c>
      <c r="I28" s="3">
        <f>'CARGO 16'!$H28</f>
        <v>800</v>
      </c>
      <c r="J28" s="42">
        <f>'CARGO 16'!$G28-'CARGO 16'!$F28-'CARGO 16'!$H28</f>
        <v>127347</v>
      </c>
    </row>
    <row r="29" spans="2:10" ht="15">
      <c r="B29" s="39">
        <v>43314</v>
      </c>
      <c r="C29" s="3">
        <f aca="true" t="shared" si="2" ref="C29:C40">C28-D28</f>
        <v>9012</v>
      </c>
      <c r="D29" s="25">
        <v>489</v>
      </c>
      <c r="E29" s="68">
        <v>109</v>
      </c>
      <c r="F29" s="30">
        <v>10500</v>
      </c>
      <c r="G29" s="3">
        <f>'CARGO 16'!$D29*'CARGO 16'!$E29</f>
        <v>53301</v>
      </c>
      <c r="H29" s="30">
        <f>16800+858+67000</f>
        <v>84658</v>
      </c>
      <c r="I29" s="3">
        <f>I28+'CARGO 16'!$H29</f>
        <v>85458</v>
      </c>
      <c r="J29" s="42">
        <f>J28+'CARGO 16'!$G29-'CARGO 16'!$F29-'CARGO 16'!$H29</f>
        <v>85490</v>
      </c>
    </row>
    <row r="30" spans="2:12" ht="15">
      <c r="B30" s="39">
        <v>43315</v>
      </c>
      <c r="C30" s="31">
        <f t="shared" si="2"/>
        <v>8523</v>
      </c>
      <c r="D30" s="3">
        <v>736</v>
      </c>
      <c r="E30" s="68">
        <v>109</v>
      </c>
      <c r="F30" s="3" t="s">
        <v>133</v>
      </c>
      <c r="G30" s="3">
        <f>'CARGO 16'!$D30*'CARGO 16'!$E30</f>
        <v>80224</v>
      </c>
      <c r="H30" s="3">
        <f>4200+8000+800</f>
        <v>13000</v>
      </c>
      <c r="I30" s="3">
        <f>I29+'CARGO 16'!$H30</f>
        <v>98458</v>
      </c>
      <c r="J30" s="42" t="e">
        <f>J29+'CARGO 16'!$G30-'CARGO 16'!$F30-'CARGO 16'!$H30</f>
        <v>#VALUE!</v>
      </c>
      <c r="L30" s="20">
        <v>11195</v>
      </c>
    </row>
    <row r="31" spans="2:10" ht="15">
      <c r="B31" s="39">
        <v>43316</v>
      </c>
      <c r="C31" s="31">
        <f t="shared" si="2"/>
        <v>7787</v>
      </c>
      <c r="D31" s="3">
        <v>722</v>
      </c>
      <c r="E31" s="68">
        <v>109</v>
      </c>
      <c r="F31" s="3">
        <f>1500+2000+21500+3000+1526</f>
        <v>29526</v>
      </c>
      <c r="G31" s="3">
        <f>'CARGO 16'!$D31*'CARGO 16'!$E31</f>
        <v>78698</v>
      </c>
      <c r="H31" s="3">
        <f>400+1000+70000+3000+11850</f>
        <v>86250</v>
      </c>
      <c r="I31" s="3">
        <f>I30+'CARGO 16'!$H31</f>
        <v>184708</v>
      </c>
      <c r="J31" s="42" t="e">
        <f>J30+'CARGO 16'!$G31-'CARGO 16'!$F31-'CARGO 16'!$H31</f>
        <v>#VALUE!</v>
      </c>
    </row>
    <row r="32" spans="2:10" ht="15">
      <c r="B32" s="39">
        <v>43317</v>
      </c>
      <c r="C32" s="31">
        <f t="shared" si="2"/>
        <v>7065</v>
      </c>
      <c r="D32" s="3">
        <v>1007</v>
      </c>
      <c r="E32" s="68">
        <v>109</v>
      </c>
      <c r="F32" s="3">
        <f>500+500+6000</f>
        <v>7000</v>
      </c>
      <c r="G32" s="3">
        <f>'CARGO 16'!$D32*'CARGO 16'!$E32</f>
        <v>109763</v>
      </c>
      <c r="H32" s="3">
        <f>600+230+24900+16800</f>
        <v>42530</v>
      </c>
      <c r="I32" s="3">
        <f>I31+'CARGO 16'!$H32</f>
        <v>227238</v>
      </c>
      <c r="J32" s="42" t="e">
        <f>J31+'CARGO 16'!$G32-'CARGO 16'!$F32-'CARGO 16'!$H32</f>
        <v>#VALUE!</v>
      </c>
    </row>
    <row r="33" spans="2:10" ht="15">
      <c r="B33" s="39">
        <v>43318</v>
      </c>
      <c r="C33" s="31">
        <f t="shared" si="2"/>
        <v>6058</v>
      </c>
      <c r="D33" s="3">
        <v>1220</v>
      </c>
      <c r="E33" s="68">
        <v>109</v>
      </c>
      <c r="F33" s="3">
        <f>1000+300</f>
        <v>1300</v>
      </c>
      <c r="G33" s="3">
        <f>'CARGO 16'!$D33*'CARGO 16'!$E33</f>
        <v>132980</v>
      </c>
      <c r="H33" s="3">
        <f>200+1000+500+70000</f>
        <v>71700</v>
      </c>
      <c r="I33" s="3">
        <f>I32+'CARGO 16'!$H33</f>
        <v>298938</v>
      </c>
      <c r="J33" s="42" t="e">
        <f>J32+'CARGO 16'!$G33-'CARGO 16'!$F33-'CARGO 16'!$H33</f>
        <v>#VALUE!</v>
      </c>
    </row>
    <row r="34" spans="2:10" ht="15">
      <c r="B34" s="39">
        <v>43319</v>
      </c>
      <c r="C34" s="31">
        <f t="shared" si="2"/>
        <v>4838</v>
      </c>
      <c r="D34" s="3">
        <v>914</v>
      </c>
      <c r="E34" s="68">
        <v>109</v>
      </c>
      <c r="F34" s="3">
        <f>1326+2040+200+200+5061+500</f>
        <v>9327</v>
      </c>
      <c r="G34" s="3">
        <f>'CARGO 16'!$D34*'CARGO 16'!$E34</f>
        <v>99626</v>
      </c>
      <c r="H34" s="3">
        <f>25900+15000</f>
        <v>40900</v>
      </c>
      <c r="I34" s="3">
        <f>I33+'CARGO 16'!$H34</f>
        <v>339838</v>
      </c>
      <c r="J34" s="42" t="e">
        <f>J33+'CARGO 16'!$G34-'CARGO 16'!$F34-'CARGO 16'!$H34</f>
        <v>#VALUE!</v>
      </c>
    </row>
    <row r="35" spans="2:10" ht="15">
      <c r="B35" s="39">
        <v>43320</v>
      </c>
      <c r="C35" s="31">
        <f t="shared" si="2"/>
        <v>3924</v>
      </c>
      <c r="D35" s="3">
        <v>1197</v>
      </c>
      <c r="E35" s="68">
        <v>109</v>
      </c>
      <c r="F35" s="3">
        <f>1350+2041+300</f>
        <v>3691</v>
      </c>
      <c r="G35" s="3">
        <f>'CARGO 16'!$D35*'CARGO 16'!$E35</f>
        <v>130473</v>
      </c>
      <c r="H35" s="3">
        <f>1000+70000+29000+650</f>
        <v>100650</v>
      </c>
      <c r="I35" s="3">
        <f>I34+'CARGO 16'!$H35</f>
        <v>440488</v>
      </c>
      <c r="J35" s="42" t="e">
        <f>J34+'CARGO 16'!$G35-'CARGO 16'!$F35-'CARGO 16'!$H35</f>
        <v>#VALUE!</v>
      </c>
    </row>
    <row r="36" spans="2:13" ht="15">
      <c r="B36" s="39">
        <v>43321</v>
      </c>
      <c r="C36" s="31">
        <f t="shared" si="2"/>
        <v>2727</v>
      </c>
      <c r="D36" s="3">
        <v>731</v>
      </c>
      <c r="E36" s="68">
        <v>109</v>
      </c>
      <c r="F36" s="3">
        <f>200+1000</f>
        <v>1200</v>
      </c>
      <c r="G36" s="3">
        <f>'CARGO 16'!$D36*'CARGO 16'!$E36</f>
        <v>79679</v>
      </c>
      <c r="H36" s="3">
        <f>18000+2000+4370+24200+1700+35000+1000+30000+1000</f>
        <v>117270</v>
      </c>
      <c r="I36" s="3">
        <f>I35+'CARGO 16'!$H36</f>
        <v>557758</v>
      </c>
      <c r="J36" s="42" t="e">
        <f>J35+'CARGO 16'!$G36-'CARGO 16'!$F36-'CARGO 16'!$H36</f>
        <v>#VALUE!</v>
      </c>
      <c r="M36">
        <v>77</v>
      </c>
    </row>
    <row r="37" spans="2:10" ht="15">
      <c r="B37" s="39">
        <v>43322</v>
      </c>
      <c r="C37" s="31">
        <f t="shared" si="2"/>
        <v>1996</v>
      </c>
      <c r="D37" s="3">
        <v>778</v>
      </c>
      <c r="E37" s="68">
        <v>109</v>
      </c>
      <c r="F37" s="3">
        <v>300</v>
      </c>
      <c r="G37" s="3">
        <f>'CARGO 16'!$D37*'CARGO 16'!$E37</f>
        <v>84802</v>
      </c>
      <c r="H37" s="3">
        <f>5000+69600</f>
        <v>74600</v>
      </c>
      <c r="I37" s="3">
        <f>I36+'CARGO 16'!$H37</f>
        <v>632358</v>
      </c>
      <c r="J37" s="42" t="e">
        <f>J36+'CARGO 16'!$G37-'CARGO 16'!$F37-'CARGO 16'!$H37</f>
        <v>#VALUE!</v>
      </c>
    </row>
    <row r="38" spans="2:10" ht="15">
      <c r="B38" s="39">
        <v>43323</v>
      </c>
      <c r="C38" s="31">
        <f t="shared" si="2"/>
        <v>1218</v>
      </c>
      <c r="D38" s="3">
        <v>1218</v>
      </c>
      <c r="E38" s="68">
        <v>109</v>
      </c>
      <c r="F38" s="3">
        <f>500+300</f>
        <v>800</v>
      </c>
      <c r="G38" s="3">
        <f>'CARGO 16'!$D38*'CARGO 16'!$E38</f>
        <v>132762</v>
      </c>
      <c r="H38" s="3">
        <f>800+70000+23680+19400</f>
        <v>113880</v>
      </c>
      <c r="I38" s="3">
        <f>I37+'CARGO 16'!$H38</f>
        <v>746238</v>
      </c>
      <c r="J38" s="42" t="e">
        <f>J37+'CARGO 16'!$G38-'CARGO 16'!$F38-'CARGO 16'!$H38</f>
        <v>#VALUE!</v>
      </c>
    </row>
    <row r="39" spans="2:10" ht="15">
      <c r="B39" s="39">
        <v>43324</v>
      </c>
      <c r="C39" s="31">
        <f t="shared" si="2"/>
        <v>0</v>
      </c>
      <c r="D39" s="3"/>
      <c r="E39" s="68">
        <v>109</v>
      </c>
      <c r="F39" s="3"/>
      <c r="G39" s="3">
        <f>'CARGO 16'!$D39*'CARGO 16'!$E39</f>
        <v>0</v>
      </c>
      <c r="H39" s="3">
        <f>12800+20000</f>
        <v>32800</v>
      </c>
      <c r="I39" s="3">
        <f>I38+'CARGO 16'!$H39</f>
        <v>779038</v>
      </c>
      <c r="J39" s="42" t="e">
        <f>J38+'CARGO 16'!$G39-'CARGO 16'!$F39-'CARGO 16'!$H39</f>
        <v>#VALUE!</v>
      </c>
    </row>
    <row r="40" spans="2:10" ht="15">
      <c r="B40" s="39">
        <v>43325</v>
      </c>
      <c r="C40" s="31">
        <f t="shared" si="2"/>
        <v>0</v>
      </c>
      <c r="D40" s="3"/>
      <c r="E40" s="68">
        <v>109</v>
      </c>
      <c r="F40" s="3"/>
      <c r="G40" s="3">
        <f>'CARGO 16'!$D40*'CARGO 16'!$E40</f>
        <v>0</v>
      </c>
      <c r="H40" s="3"/>
      <c r="I40" s="3">
        <f>I39+'CARGO 16'!$H40</f>
        <v>779038</v>
      </c>
      <c r="J40" s="42" t="e">
        <f>J39+'CARGO 16'!$G40-'CARGO 16'!$F40-'CARGO 16'!$H40</f>
        <v>#VALUE!</v>
      </c>
    </row>
    <row r="41" spans="2:10" ht="15">
      <c r="B41" s="39">
        <v>43326</v>
      </c>
      <c r="C41" s="31">
        <f>C40-D40</f>
        <v>0</v>
      </c>
      <c r="D41" s="3"/>
      <c r="E41" s="68">
        <v>109</v>
      </c>
      <c r="F41" s="3"/>
      <c r="G41" s="3">
        <f>'CARGO 16'!$D41*'CARGO 16'!$E41</f>
        <v>0</v>
      </c>
      <c r="H41" s="3"/>
      <c r="I41" s="3">
        <f>I40+'CARGO 16'!$H41</f>
        <v>779038</v>
      </c>
      <c r="J41" s="42" t="e">
        <f>J40+'CARGO 16'!$G41-'CARGO 16'!$F41-'CARGO 16'!$H41</f>
        <v>#VALUE!</v>
      </c>
    </row>
    <row r="42" spans="2:10" ht="15">
      <c r="B42" s="39">
        <v>43327</v>
      </c>
      <c r="C42" s="31">
        <f>C41-D41</f>
        <v>0</v>
      </c>
      <c r="D42" s="3"/>
      <c r="E42" s="68">
        <v>109</v>
      </c>
      <c r="F42" s="3"/>
      <c r="G42" s="3"/>
      <c r="H42" s="3"/>
      <c r="I42" s="3">
        <f>I41+'CARGO 16'!$H42</f>
        <v>779038</v>
      </c>
      <c r="J42" s="42" t="e">
        <f>J41+'CARGO 16'!$G42-'CARGO 16'!$F42-'CARGO 16'!$H42</f>
        <v>#VALUE!</v>
      </c>
    </row>
    <row r="43" spans="2:10" ht="15">
      <c r="B43" s="39">
        <v>43328</v>
      </c>
      <c r="C43" s="31">
        <f>C42-D42</f>
        <v>0</v>
      </c>
      <c r="D43" s="3"/>
      <c r="E43" s="68">
        <v>109</v>
      </c>
      <c r="F43" s="3"/>
      <c r="G43" s="3"/>
      <c r="H43" s="3"/>
      <c r="I43" s="3">
        <f>I42+'CARGO 16'!$H43</f>
        <v>779038</v>
      </c>
      <c r="J43" s="42" t="e">
        <f>J42+'CARGO 16'!$G43-'CARGO 16'!$F43-'CARGO 16'!$H43</f>
        <v>#VALUE!</v>
      </c>
    </row>
    <row r="44" spans="2:10" ht="15">
      <c r="B44" s="39"/>
      <c r="C44" s="59"/>
      <c r="D44" s="3"/>
      <c r="E44" s="70"/>
      <c r="F44" s="3"/>
      <c r="G44" s="3"/>
      <c r="H44" s="3"/>
      <c r="I44" s="3"/>
      <c r="J44" s="42"/>
    </row>
    <row r="45" spans="2:10" ht="15">
      <c r="B45" s="15"/>
      <c r="C45" s="15"/>
      <c r="D45" s="15">
        <f>SUM(D28:D44)</f>
        <v>10300</v>
      </c>
      <c r="E45" s="15"/>
      <c r="F45" s="15">
        <f>SUM(F28:F44)</f>
        <v>75889</v>
      </c>
      <c r="G45" s="15">
        <f>SUM(G28:G44)</f>
        <v>1122700</v>
      </c>
      <c r="H45" s="15">
        <f>SUM(H28:H44)</f>
        <v>779038</v>
      </c>
      <c r="I45" s="15"/>
      <c r="J45" s="42"/>
    </row>
    <row r="46" spans="2:10" ht="15">
      <c r="B46" s="39"/>
      <c r="C46" s="31"/>
      <c r="D46" s="48"/>
      <c r="E46" s="68">
        <v>106</v>
      </c>
      <c r="F46" s="48"/>
      <c r="G46" s="3"/>
      <c r="H46" s="48"/>
      <c r="I46" s="3"/>
      <c r="J46" s="42"/>
    </row>
    <row r="47" spans="2:10" ht="15">
      <c r="B47" s="60" t="s">
        <v>26</v>
      </c>
      <c r="C47" s="8"/>
      <c r="D47" s="8">
        <f>D21*20</f>
        <v>1840</v>
      </c>
      <c r="E47" s="68"/>
      <c r="F47" s="8">
        <f>F21</f>
        <v>17307</v>
      </c>
      <c r="G47" s="8">
        <f>G21</f>
        <v>199640</v>
      </c>
      <c r="H47" s="8">
        <f>H21</f>
        <v>181157</v>
      </c>
      <c r="I47" s="8"/>
      <c r="J47" s="61"/>
    </row>
    <row r="48" spans="2:10" ht="15">
      <c r="B48" s="63"/>
      <c r="C48" s="64"/>
      <c r="D48" s="64"/>
      <c r="E48" s="64"/>
      <c r="F48" s="64"/>
      <c r="G48" s="64"/>
      <c r="H48" s="64">
        <f>H45+H47</f>
        <v>960195</v>
      </c>
      <c r="I48" s="64">
        <f>G45-H48</f>
        <v>162505</v>
      </c>
      <c r="J48" s="65"/>
    </row>
    <row r="49" spans="3:10" ht="15">
      <c r="C49" s="62" t="s">
        <v>52</v>
      </c>
      <c r="D49" s="53">
        <f>C18*20</f>
        <v>20</v>
      </c>
      <c r="E49" s="12"/>
      <c r="F49" s="12"/>
      <c r="G49" s="12"/>
      <c r="H49" s="12"/>
      <c r="I49" s="20"/>
      <c r="J49" s="17"/>
    </row>
    <row r="50" spans="3:10" ht="15">
      <c r="C50" s="12" t="s">
        <v>51</v>
      </c>
      <c r="D50" s="53">
        <f>D45-D47-D49</f>
        <v>8440</v>
      </c>
      <c r="E50" s="12"/>
      <c r="F50" s="12" t="s">
        <v>50</v>
      </c>
      <c r="G50" s="53">
        <f>D50*E46</f>
        <v>894640</v>
      </c>
      <c r="H50" s="12"/>
      <c r="I50" s="20"/>
      <c r="J50" s="17"/>
    </row>
    <row r="51" spans="4:10" ht="15">
      <c r="D51" s="12"/>
      <c r="E51" s="12"/>
      <c r="F51" s="12" t="s">
        <v>53</v>
      </c>
      <c r="G51" s="53">
        <f>G50-F45-H45</f>
        <v>39713</v>
      </c>
      <c r="H51" s="53">
        <f>G47-F47-H47</f>
        <v>1176</v>
      </c>
      <c r="I51" s="20"/>
      <c r="J51" s="55">
        <f>H48-H29</f>
        <v>875537</v>
      </c>
    </row>
    <row r="52" spans="2:3" s="12" customFormat="1" ht="15">
      <c r="B52" s="12" t="s">
        <v>60</v>
      </c>
      <c r="C52" s="12">
        <v>369184</v>
      </c>
    </row>
    <row r="53" ht="15">
      <c r="E53" s="12"/>
    </row>
    <row r="54" ht="15">
      <c r="E54" s="12"/>
    </row>
    <row r="55" spans="5:6" ht="15">
      <c r="E55" s="12"/>
      <c r="F55" s="20">
        <f>F45-64284-34097</f>
        <v>-22492</v>
      </c>
    </row>
    <row r="237" ht="15">
      <c r="M237">
        <v>48</v>
      </c>
    </row>
  </sheetData>
  <sheetProtection/>
  <mergeCells count="2">
    <mergeCell ref="C2:I2"/>
    <mergeCell ref="C25:I25"/>
  </mergeCells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2:M237"/>
  <sheetViews>
    <sheetView zoomScalePageLayoutView="0" workbookViewId="0" topLeftCell="B25">
      <selection activeCell="F31" sqref="F31"/>
    </sheetView>
  </sheetViews>
  <sheetFormatPr defaultColWidth="9.140625" defaultRowHeight="15"/>
  <cols>
    <col min="2" max="2" width="11.00390625" style="0" customWidth="1"/>
    <col min="3" max="3" width="18.421875" style="0" customWidth="1"/>
    <col min="5" max="5" width="12.140625" style="0" customWidth="1"/>
    <col min="6" max="6" width="15.00390625" style="0" customWidth="1"/>
    <col min="7" max="7" width="13.421875" style="0" customWidth="1"/>
    <col min="8" max="8" width="13.140625" style="0" customWidth="1"/>
    <col min="9" max="9" width="14.421875" style="0" customWidth="1"/>
    <col min="10" max="10" width="10.28125" style="0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0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</row>
    <row r="4" spans="2:10" ht="15">
      <c r="B4" s="56"/>
      <c r="C4" s="28"/>
      <c r="D4" s="28"/>
      <c r="E4" s="28">
        <v>96</v>
      </c>
      <c r="F4" s="50"/>
      <c r="G4" s="50">
        <f>'CARGO 17'!$E4*'CARGO 17'!$C4</f>
        <v>0</v>
      </c>
      <c r="H4" s="50"/>
      <c r="I4" s="50">
        <f>'CARGO 17'!$G4-'CARGO 17'!$F4</f>
        <v>0</v>
      </c>
      <c r="J4" s="51">
        <f>'CARGO 17'!$I4-'CARGO 17'!$H4</f>
        <v>0</v>
      </c>
    </row>
    <row r="5" spans="2:13" ht="15">
      <c r="B5" s="39">
        <v>43326</v>
      </c>
      <c r="C5" s="3">
        <v>0</v>
      </c>
      <c r="D5" s="3"/>
      <c r="E5" s="68">
        <f>20*108.5</f>
        <v>2170</v>
      </c>
      <c r="F5" s="31">
        <v>7000</v>
      </c>
      <c r="G5" s="3">
        <f>'CARGO 17'!$D5*'CARGO 17'!$E5</f>
        <v>0</v>
      </c>
      <c r="H5" s="31"/>
      <c r="I5" s="3">
        <f>'CARGO 17'!$H5</f>
        <v>0</v>
      </c>
      <c r="J5" s="42">
        <f>'CARGO 17'!$G5-'CARGO 17'!$F5-'CARGO 17'!$H5</f>
        <v>-7000</v>
      </c>
      <c r="M5" s="93"/>
    </row>
    <row r="6" spans="2:10" ht="15">
      <c r="B6" s="39">
        <v>43327</v>
      </c>
      <c r="C6" s="3">
        <v>24</v>
      </c>
      <c r="D6" s="25">
        <v>9</v>
      </c>
      <c r="E6" s="68">
        <f>20*108.5</f>
        <v>2170</v>
      </c>
      <c r="F6" s="30"/>
      <c r="G6" s="3">
        <f>'CARGO 17'!$D6*'CARGO 17'!$E6</f>
        <v>19530</v>
      </c>
      <c r="H6" s="31"/>
      <c r="I6" s="3">
        <f>I5+'CARGO 17'!$H6</f>
        <v>0</v>
      </c>
      <c r="J6" s="42">
        <f>J5+'CARGO 17'!$G6-'CARGO 17'!$F6-'CARGO 17'!$H6</f>
        <v>12530</v>
      </c>
    </row>
    <row r="7" spans="2:10" ht="15">
      <c r="B7" s="39">
        <v>43328</v>
      </c>
      <c r="C7" s="3">
        <f>C6-D6</f>
        <v>15</v>
      </c>
      <c r="D7" s="3">
        <v>10</v>
      </c>
      <c r="E7" s="68">
        <f>20*110</f>
        <v>2200</v>
      </c>
      <c r="F7" s="3"/>
      <c r="G7" s="3">
        <f>'CARGO 17'!$D7*'CARGO 17'!$E7</f>
        <v>22000</v>
      </c>
      <c r="H7" s="31">
        <f>17529</f>
        <v>17529</v>
      </c>
      <c r="I7" s="3">
        <f>I6+'CARGO 17'!$H7</f>
        <v>17529</v>
      </c>
      <c r="J7" s="42">
        <f>J6+'CARGO 17'!$G7-'CARGO 17'!$F7-'CARGO 17'!$H7</f>
        <v>17001</v>
      </c>
    </row>
    <row r="8" spans="2:12" ht="15">
      <c r="B8" s="39">
        <v>43329</v>
      </c>
      <c r="C8" s="3">
        <f>C7-D7+30</f>
        <v>35</v>
      </c>
      <c r="D8" s="3">
        <v>2</v>
      </c>
      <c r="E8" s="68">
        <f aca="true" t="shared" si="0" ref="E8:E19">20*110</f>
        <v>2200</v>
      </c>
      <c r="F8" s="3"/>
      <c r="G8" s="3">
        <f>'CARGO 17'!$D8*'CARGO 17'!$E8</f>
        <v>4400</v>
      </c>
      <c r="H8" s="3">
        <f>9645</f>
        <v>9645</v>
      </c>
      <c r="I8" s="3">
        <f>I7+'CARGO 17'!$H8</f>
        <v>27174</v>
      </c>
      <c r="J8" s="42">
        <f>J7+'CARGO 17'!$G8-'CARGO 17'!$F8-'CARGO 17'!$H8</f>
        <v>11756</v>
      </c>
      <c r="L8" s="20"/>
    </row>
    <row r="9" spans="2:10" ht="15">
      <c r="B9" s="39">
        <v>43330</v>
      </c>
      <c r="C9" s="3">
        <f aca="true" t="shared" si="1" ref="C9:C19">C8-D8</f>
        <v>33</v>
      </c>
      <c r="D9" s="3">
        <v>8</v>
      </c>
      <c r="E9" s="68">
        <f t="shared" si="0"/>
        <v>2200</v>
      </c>
      <c r="F9" s="3"/>
      <c r="G9" s="3">
        <f>'CARGO 17'!$D9*'CARGO 17'!$E9</f>
        <v>17600</v>
      </c>
      <c r="H9" s="31">
        <f>7950</f>
        <v>7950</v>
      </c>
      <c r="I9" s="3">
        <f>I8+'CARGO 17'!$H9</f>
        <v>35124</v>
      </c>
      <c r="J9" s="42">
        <f>J8+'CARGO 17'!$G9-'CARGO 17'!$F9-'CARGO 17'!$H9</f>
        <v>21406</v>
      </c>
    </row>
    <row r="10" spans="2:11" ht="15">
      <c r="B10" s="39">
        <v>43331</v>
      </c>
      <c r="C10" s="3">
        <f t="shared" si="1"/>
        <v>25</v>
      </c>
      <c r="D10" s="3">
        <v>12</v>
      </c>
      <c r="E10" s="68">
        <f t="shared" si="0"/>
        <v>2200</v>
      </c>
      <c r="F10" s="3"/>
      <c r="G10" s="3">
        <f>'CARGO 17'!$D10*'CARGO 17'!$E10</f>
        <v>26400</v>
      </c>
      <c r="H10" s="31">
        <v>0</v>
      </c>
      <c r="I10" s="3">
        <f>I9+'CARGO 17'!$H10</f>
        <v>35124</v>
      </c>
      <c r="J10" s="42">
        <f>J9+'CARGO 17'!$G10-'CARGO 17'!$F10-'CARGO 17'!$H10</f>
        <v>47806</v>
      </c>
      <c r="K10" s="20">
        <f>G8+G9+'CARGO 17'!$G10+G11+G12+G13</f>
        <v>114400</v>
      </c>
    </row>
    <row r="11" spans="2:11" ht="15">
      <c r="B11" s="39">
        <v>43332</v>
      </c>
      <c r="C11" s="3">
        <f>C10-D10+20</f>
        <v>33</v>
      </c>
      <c r="D11" s="3">
        <v>18</v>
      </c>
      <c r="E11" s="68">
        <f t="shared" si="0"/>
        <v>2200</v>
      </c>
      <c r="F11" s="3"/>
      <c r="G11" s="3">
        <f>'CARGO 17'!$D11*'CARGO 17'!$E11</f>
        <v>39600</v>
      </c>
      <c r="H11" s="31">
        <f>17214+12673</f>
        <v>29887</v>
      </c>
      <c r="I11" s="3">
        <f>I10+'CARGO 17'!$H11</f>
        <v>65011</v>
      </c>
      <c r="J11" s="42">
        <f>J10+'CARGO 17'!$G11-'CARGO 17'!$F11-'CARGO 17'!$H11</f>
        <v>57519</v>
      </c>
      <c r="K11" s="20">
        <f>H10+'CARGO 17'!$H11+H12+H13+H14+F13+F10</f>
        <v>104400</v>
      </c>
    </row>
    <row r="12" spans="2:11" ht="15">
      <c r="B12" s="39">
        <v>43333</v>
      </c>
      <c r="C12" s="3">
        <f t="shared" si="1"/>
        <v>15</v>
      </c>
      <c r="D12" s="3">
        <v>8</v>
      </c>
      <c r="E12" s="68">
        <f t="shared" si="0"/>
        <v>2200</v>
      </c>
      <c r="F12" s="3"/>
      <c r="G12" s="3">
        <f>'CARGO 17'!$D12*'CARGO 17'!$E12</f>
        <v>17600</v>
      </c>
      <c r="H12" s="31">
        <f>13563</f>
        <v>13563</v>
      </c>
      <c r="I12" s="3">
        <f>I11+'CARGO 17'!$H12</f>
        <v>78574</v>
      </c>
      <c r="J12" s="42">
        <f>J11+'CARGO 17'!$G12-'CARGO 17'!$F12-'CARGO 17'!$H12</f>
        <v>61556</v>
      </c>
      <c r="K12" s="20">
        <f>K10-K11</f>
        <v>10000</v>
      </c>
    </row>
    <row r="13" spans="2:13" ht="15">
      <c r="B13" s="39">
        <v>43334</v>
      </c>
      <c r="C13" s="3">
        <f t="shared" si="1"/>
        <v>7</v>
      </c>
      <c r="D13" s="3">
        <v>4</v>
      </c>
      <c r="E13" s="68">
        <f t="shared" si="0"/>
        <v>2200</v>
      </c>
      <c r="F13" s="3"/>
      <c r="G13" s="3">
        <f>'CARGO 17'!$D13*'CARGO 17'!$E13</f>
        <v>8800</v>
      </c>
      <c r="H13" s="31">
        <f>39378</f>
        <v>39378</v>
      </c>
      <c r="I13" s="3">
        <f>I12+'CARGO 17'!$H13</f>
        <v>117952</v>
      </c>
      <c r="J13" s="42">
        <f>J12+'CARGO 17'!$G13-'CARGO 17'!$F13-'CARGO 17'!$H13</f>
        <v>30978</v>
      </c>
      <c r="K13" s="20">
        <f>G17-H18</f>
        <v>0</v>
      </c>
      <c r="M13" s="92"/>
    </row>
    <row r="14" spans="2:11" ht="15">
      <c r="B14" s="39">
        <v>43335</v>
      </c>
      <c r="C14" s="3">
        <f t="shared" si="1"/>
        <v>3</v>
      </c>
      <c r="D14" s="3">
        <v>3</v>
      </c>
      <c r="E14" s="68">
        <f t="shared" si="0"/>
        <v>2200</v>
      </c>
      <c r="F14" s="3"/>
      <c r="G14" s="3">
        <f>'CARGO 17'!$D14*'CARGO 17'!$E14</f>
        <v>6600</v>
      </c>
      <c r="H14" s="31">
        <f>12647+2225+6700</f>
        <v>21572</v>
      </c>
      <c r="I14" s="3">
        <f>I13+'CARGO 17'!$H14</f>
        <v>139524</v>
      </c>
      <c r="J14" s="42">
        <f>J13+'CARGO 17'!$G14-'CARGO 17'!$F14-'CARGO 17'!$H14</f>
        <v>16006</v>
      </c>
      <c r="K14" s="20">
        <f>K12+K13</f>
        <v>10000</v>
      </c>
    </row>
    <row r="15" spans="2:10" ht="15">
      <c r="B15" s="39">
        <v>43336</v>
      </c>
      <c r="C15" s="3">
        <f t="shared" si="1"/>
        <v>0</v>
      </c>
      <c r="D15" s="3"/>
      <c r="E15" s="68">
        <f t="shared" si="0"/>
        <v>2200</v>
      </c>
      <c r="F15" s="3"/>
      <c r="G15" s="3">
        <f>'CARGO 17'!$D15*'CARGO 17'!$E15</f>
        <v>0</v>
      </c>
      <c r="H15" s="31"/>
      <c r="I15" s="3">
        <f>I14+'CARGO 17'!$H15</f>
        <v>139524</v>
      </c>
      <c r="J15" s="42">
        <f>J14+'CARGO 17'!$G15-'CARGO 17'!$F15-'CARGO 17'!$H15</f>
        <v>16006</v>
      </c>
    </row>
    <row r="16" spans="2:10" ht="15">
      <c r="B16" s="39">
        <v>43337</v>
      </c>
      <c r="C16" s="3">
        <f t="shared" si="1"/>
        <v>0</v>
      </c>
      <c r="D16" s="3"/>
      <c r="E16" s="68">
        <f t="shared" si="0"/>
        <v>2200</v>
      </c>
      <c r="F16" s="3"/>
      <c r="G16" s="3">
        <f>'CARGO 17'!$D16*'CARGO 17'!$E16</f>
        <v>0</v>
      </c>
      <c r="H16" s="3"/>
      <c r="I16" s="3">
        <f>I15+'CARGO 17'!$H16</f>
        <v>139524</v>
      </c>
      <c r="J16" s="42">
        <f>J15+'CARGO 17'!$G16-'CARGO 17'!$F16-'CARGO 17'!$H16</f>
        <v>16006</v>
      </c>
    </row>
    <row r="17" spans="2:10" ht="15">
      <c r="B17" s="39">
        <v>43338</v>
      </c>
      <c r="C17" s="3">
        <f t="shared" si="1"/>
        <v>0</v>
      </c>
      <c r="D17" s="3"/>
      <c r="E17" s="68">
        <f t="shared" si="0"/>
        <v>2200</v>
      </c>
      <c r="F17" s="3"/>
      <c r="G17" s="3">
        <f>'CARGO 17'!$D17*'CARGO 17'!$E17</f>
        <v>0</v>
      </c>
      <c r="H17" s="31"/>
      <c r="I17" s="3">
        <f>I16+'CARGO 17'!$H17</f>
        <v>139524</v>
      </c>
      <c r="J17" s="42">
        <f>J16+'CARGO 17'!$G17-'CARGO 17'!$F17-'CARGO 17'!$H17</f>
        <v>16006</v>
      </c>
    </row>
    <row r="18" spans="2:10" ht="15">
      <c r="B18" s="39">
        <v>43339</v>
      </c>
      <c r="C18" s="3">
        <f t="shared" si="1"/>
        <v>0</v>
      </c>
      <c r="D18" s="3"/>
      <c r="E18" s="68">
        <f t="shared" si="0"/>
        <v>2200</v>
      </c>
      <c r="F18" s="3"/>
      <c r="G18" s="3">
        <f>'CARGO 17'!$D18*'CARGO 17'!$E18</f>
        <v>0</v>
      </c>
      <c r="H18" s="31"/>
      <c r="I18" s="3">
        <f>I17+'CARGO 17'!$H18</f>
        <v>139524</v>
      </c>
      <c r="J18" s="42">
        <f>J17+'CARGO 17'!$G18-'CARGO 17'!$F18-'CARGO 17'!$H18</f>
        <v>16006</v>
      </c>
    </row>
    <row r="19" spans="2:10" ht="15">
      <c r="B19" s="39">
        <v>43340</v>
      </c>
      <c r="C19" s="3">
        <f t="shared" si="1"/>
        <v>0</v>
      </c>
      <c r="D19" s="3"/>
      <c r="E19" s="68">
        <f t="shared" si="0"/>
        <v>2200</v>
      </c>
      <c r="F19" s="3"/>
      <c r="G19" s="3">
        <f>'CARGO 17'!$D19*'CARGO 17'!$E19</f>
        <v>0</v>
      </c>
      <c r="H19" s="31"/>
      <c r="I19" s="3">
        <f>I18+'CARGO 17'!$H19</f>
        <v>139524</v>
      </c>
      <c r="J19" s="42">
        <f>J18+'CARGO 17'!$G19-'CARGO 17'!$F19-'CARGO 17'!$H19</f>
        <v>16006</v>
      </c>
    </row>
    <row r="20" spans="2:10" ht="15">
      <c r="B20" s="39"/>
      <c r="C20" s="59"/>
      <c r="D20" s="3"/>
      <c r="E20" s="70"/>
      <c r="F20" s="3"/>
      <c r="G20" s="3">
        <f>'CARGO 17'!$D20*'CARGO 17'!$E20</f>
        <v>0</v>
      </c>
      <c r="H20" s="3"/>
      <c r="I20" s="3"/>
      <c r="J20" s="42"/>
    </row>
    <row r="21" spans="2:10" ht="15">
      <c r="B21" s="15"/>
      <c r="C21" s="15"/>
      <c r="D21" s="15">
        <f>SUM(D4:D19)</f>
        <v>74</v>
      </c>
      <c r="E21" s="15"/>
      <c r="F21" s="15">
        <f>SUM(F5:F19)</f>
        <v>7000</v>
      </c>
      <c r="G21" s="15">
        <f>SUM(G5:G19)</f>
        <v>162530</v>
      </c>
      <c r="H21" s="15">
        <f>SUM(H5:H19)</f>
        <v>139524</v>
      </c>
      <c r="I21" s="15"/>
      <c r="J21" s="42"/>
    </row>
    <row r="22" spans="2:10" ht="15">
      <c r="B22" s="63"/>
      <c r="C22" s="64"/>
      <c r="D22" s="64"/>
      <c r="E22" s="64"/>
      <c r="F22" s="64"/>
      <c r="G22" s="64"/>
      <c r="H22" s="64"/>
      <c r="I22" s="64"/>
      <c r="J22" s="65"/>
    </row>
    <row r="23" ht="15">
      <c r="J23" s="20"/>
    </row>
    <row r="24" spans="6:8" ht="15">
      <c r="F24" s="20">
        <f>G15+G16</f>
        <v>0</v>
      </c>
      <c r="G24" s="20">
        <f>F24-12000+2000</f>
        <v>-10000</v>
      </c>
      <c r="H24" s="20"/>
    </row>
    <row r="25" spans="3:9" ht="18.75">
      <c r="C25" s="142" t="s">
        <v>73</v>
      </c>
      <c r="D25" s="142"/>
      <c r="E25" s="142"/>
      <c r="F25" s="142"/>
      <c r="G25" s="142"/>
      <c r="H25" s="142"/>
      <c r="I25" s="142"/>
    </row>
    <row r="26" spans="2:10" ht="15">
      <c r="B26" s="44" t="s">
        <v>0</v>
      </c>
      <c r="C26" s="45" t="s">
        <v>69</v>
      </c>
      <c r="D26" s="45" t="s">
        <v>70</v>
      </c>
      <c r="E26" s="45" t="s">
        <v>71</v>
      </c>
      <c r="F26" s="45" t="s">
        <v>6</v>
      </c>
      <c r="G26" s="45" t="s">
        <v>72</v>
      </c>
      <c r="H26" s="45" t="s">
        <v>3</v>
      </c>
      <c r="I26" s="45" t="s">
        <v>9</v>
      </c>
      <c r="J26" s="46" t="s">
        <v>8</v>
      </c>
    </row>
    <row r="27" spans="2:12" ht="15">
      <c r="B27" s="56"/>
      <c r="C27" s="28">
        <v>10000</v>
      </c>
      <c r="D27" s="28"/>
      <c r="E27" s="28">
        <v>97.8</v>
      </c>
      <c r="F27" s="50"/>
      <c r="G27" s="50">
        <f>'CARGO 17'!$E27*'CARGO 17'!$C27</f>
        <v>978000</v>
      </c>
      <c r="H27" s="50"/>
      <c r="I27" s="50">
        <f>'CARGO 17'!$G27-'CARGO 17'!$F27</f>
        <v>978000</v>
      </c>
      <c r="J27" s="51">
        <f>'CARGO 17'!$I27-'CARGO 17'!$H27</f>
        <v>978000</v>
      </c>
      <c r="L27">
        <f>1144-507</f>
        <v>637</v>
      </c>
    </row>
    <row r="28" spans="2:10" ht="15">
      <c r="B28" s="39">
        <v>43326</v>
      </c>
      <c r="C28" s="3">
        <v>10000</v>
      </c>
      <c r="D28" s="3"/>
      <c r="E28" s="68">
        <v>109</v>
      </c>
      <c r="F28" s="3"/>
      <c r="G28" s="3">
        <f>'CARGO 17'!$D28*'CARGO 17'!$E28</f>
        <v>0</v>
      </c>
      <c r="H28" s="31"/>
      <c r="I28" s="3">
        <f>'CARGO 17'!$H28</f>
        <v>0</v>
      </c>
      <c r="J28" s="42">
        <f>'CARGO 17'!$G28-'CARGO 17'!$F28-'CARGO 17'!$H28</f>
        <v>0</v>
      </c>
    </row>
    <row r="29" spans="2:10" ht="15">
      <c r="B29" s="39">
        <v>43327</v>
      </c>
      <c r="C29" s="3">
        <f aca="true" t="shared" si="2" ref="C29:C40">C28-D28</f>
        <v>10000</v>
      </c>
      <c r="D29" s="25">
        <v>1850</v>
      </c>
      <c r="E29" s="68">
        <v>109</v>
      </c>
      <c r="F29" s="30">
        <f>1200+1015+1015+615+11676+300+16000</f>
        <v>31821</v>
      </c>
      <c r="G29" s="3">
        <f>'CARGO 17'!$D29*'CARGO 17'!$E29</f>
        <v>201650</v>
      </c>
      <c r="H29" s="30">
        <f>500+3030+60000</f>
        <v>63530</v>
      </c>
      <c r="I29" s="3">
        <f>I28+'CARGO 17'!$H29</f>
        <v>63530</v>
      </c>
      <c r="J29" s="42">
        <f>J28+'CARGO 17'!$G29-'CARGO 17'!$F29-'CARGO 17'!$H29</f>
        <v>106299</v>
      </c>
    </row>
    <row r="30" spans="2:12" ht="15">
      <c r="B30" s="39">
        <v>43328</v>
      </c>
      <c r="C30" s="31">
        <f t="shared" si="2"/>
        <v>8150</v>
      </c>
      <c r="D30" s="3">
        <v>729</v>
      </c>
      <c r="E30" s="68">
        <v>110</v>
      </c>
      <c r="F30" s="3">
        <f>500+300</f>
        <v>800</v>
      </c>
      <c r="G30" s="3">
        <f>'CARGO 17'!$D30*'CARGO 17'!$E30</f>
        <v>80190</v>
      </c>
      <c r="H30" s="3">
        <f>70000+22000+1200</f>
        <v>93200</v>
      </c>
      <c r="I30" s="3">
        <f>I29+'CARGO 17'!$H30</f>
        <v>156730</v>
      </c>
      <c r="J30" s="42">
        <f>J29+'CARGO 17'!$G30-'CARGO 17'!$F30-'CARGO 17'!$H30</f>
        <v>92489</v>
      </c>
      <c r="L30" s="20">
        <v>11195</v>
      </c>
    </row>
    <row r="31" spans="2:10" ht="15">
      <c r="B31" s="39">
        <v>43329</v>
      </c>
      <c r="C31" s="31">
        <f t="shared" si="2"/>
        <v>7421</v>
      </c>
      <c r="D31" s="3">
        <v>1619</v>
      </c>
      <c r="E31" s="68">
        <v>110</v>
      </c>
      <c r="F31" s="3" t="s">
        <v>134</v>
      </c>
      <c r="G31" s="3">
        <f>'CARGO 17'!$D31*'CARGO 17'!$E31</f>
        <v>178090</v>
      </c>
      <c r="H31" s="3">
        <f>59700</f>
        <v>59700</v>
      </c>
      <c r="I31" s="3">
        <f>I30+'CARGO 17'!$H31</f>
        <v>216430</v>
      </c>
      <c r="J31" s="42" t="e">
        <f>J30+'CARGO 17'!$G31-'CARGO 17'!$F31-'CARGO 17'!$H31</f>
        <v>#VALUE!</v>
      </c>
    </row>
    <row r="32" spans="2:10" ht="15">
      <c r="B32" s="39">
        <v>43330</v>
      </c>
      <c r="C32" s="31">
        <f t="shared" si="2"/>
        <v>5802</v>
      </c>
      <c r="D32" s="3">
        <v>1291</v>
      </c>
      <c r="E32" s="68">
        <v>110</v>
      </c>
      <c r="F32" s="3">
        <f>300+400</f>
        <v>700</v>
      </c>
      <c r="G32" s="3">
        <f>'CARGO 17'!$D32*'CARGO 17'!$E32</f>
        <v>142010</v>
      </c>
      <c r="H32" s="3">
        <f>1200</f>
        <v>1200</v>
      </c>
      <c r="I32" s="3">
        <f>I31+'CARGO 17'!$H32</f>
        <v>217630</v>
      </c>
      <c r="J32" s="42" t="e">
        <f>J31+'CARGO 17'!$G32-'CARGO 17'!$F32-'CARGO 17'!$H32</f>
        <v>#VALUE!</v>
      </c>
    </row>
    <row r="33" spans="2:10" ht="15">
      <c r="B33" s="39">
        <v>43331</v>
      </c>
      <c r="C33" s="31">
        <f t="shared" si="2"/>
        <v>4511</v>
      </c>
      <c r="D33" s="3">
        <v>947</v>
      </c>
      <c r="E33" s="68">
        <v>110</v>
      </c>
      <c r="F33" s="3">
        <f>300+500</f>
        <v>800</v>
      </c>
      <c r="G33" s="3">
        <f>'CARGO 17'!$D33*'CARGO 17'!$E33</f>
        <v>104170</v>
      </c>
      <c r="H33" s="3">
        <f>67700+70000+25000+19036+30000</f>
        <v>211736</v>
      </c>
      <c r="I33" s="3">
        <f>I32+'CARGO 17'!$H33</f>
        <v>429366</v>
      </c>
      <c r="J33" s="42" t="e">
        <f>J32+'CARGO 17'!$G33-'CARGO 17'!$F33-'CARGO 17'!$H33</f>
        <v>#VALUE!</v>
      </c>
    </row>
    <row r="34" spans="2:10" ht="15">
      <c r="B34" s="39">
        <v>43332</v>
      </c>
      <c r="C34" s="31">
        <f t="shared" si="2"/>
        <v>3564</v>
      </c>
      <c r="D34" s="3">
        <v>912</v>
      </c>
      <c r="E34" s="68">
        <v>110</v>
      </c>
      <c r="F34" s="3">
        <f>1000+300+150</f>
        <v>1450</v>
      </c>
      <c r="G34" s="3">
        <f>'CARGO 17'!$D34*'CARGO 17'!$E34</f>
        <v>100320</v>
      </c>
      <c r="H34" s="3">
        <f>69000+1000</f>
        <v>70000</v>
      </c>
      <c r="I34" s="3">
        <f>I33+'CARGO 17'!$H34</f>
        <v>499366</v>
      </c>
      <c r="J34" s="42" t="e">
        <f>J33+'CARGO 17'!$G34-'CARGO 17'!$F34-'CARGO 17'!$H34</f>
        <v>#VALUE!</v>
      </c>
    </row>
    <row r="35" spans="2:10" ht="15">
      <c r="B35" s="39">
        <v>43333</v>
      </c>
      <c r="C35" s="31">
        <f t="shared" si="2"/>
        <v>2652</v>
      </c>
      <c r="D35" s="3">
        <v>999</v>
      </c>
      <c r="E35" s="68">
        <v>110</v>
      </c>
      <c r="F35" s="3">
        <f>5061+5061+5061+200+250</f>
        <v>15633</v>
      </c>
      <c r="G35" s="3">
        <f>'CARGO 17'!$D35*'CARGO 17'!$E35</f>
        <v>109890</v>
      </c>
      <c r="H35" s="3">
        <f>70000+43400</f>
        <v>113400</v>
      </c>
      <c r="I35" s="3">
        <f>I34+'CARGO 17'!$H35</f>
        <v>612766</v>
      </c>
      <c r="J35" s="42" t="e">
        <f>J34+'CARGO 17'!$G35-'CARGO 17'!$F35-'CARGO 17'!$H35</f>
        <v>#VALUE!</v>
      </c>
    </row>
    <row r="36" spans="2:13" ht="15">
      <c r="B36" s="39">
        <v>43334</v>
      </c>
      <c r="C36" s="31">
        <f t="shared" si="2"/>
        <v>1653</v>
      </c>
      <c r="D36" s="3">
        <v>820</v>
      </c>
      <c r="E36" s="68">
        <v>110</v>
      </c>
      <c r="F36" s="3">
        <f>150+200+500+5000</f>
        <v>5850</v>
      </c>
      <c r="G36" s="3">
        <f>'CARGO 17'!$D36*'CARGO 17'!$E36</f>
        <v>90200</v>
      </c>
      <c r="H36" s="3">
        <f>1100+48300+250</f>
        <v>49650</v>
      </c>
      <c r="I36" s="3">
        <f>I35+'CARGO 17'!$H36</f>
        <v>662416</v>
      </c>
      <c r="J36" s="42" t="e">
        <f>J35+'CARGO 17'!$G36-'CARGO 17'!$F36-'CARGO 17'!$H36</f>
        <v>#VALUE!</v>
      </c>
      <c r="M36">
        <v>77</v>
      </c>
    </row>
    <row r="37" spans="2:10" ht="15">
      <c r="B37" s="39">
        <v>43335</v>
      </c>
      <c r="C37" s="31">
        <f t="shared" si="2"/>
        <v>833</v>
      </c>
      <c r="D37" s="3">
        <v>781</v>
      </c>
      <c r="E37" s="68">
        <v>110</v>
      </c>
      <c r="F37" s="3">
        <f>5577+300</f>
        <v>5877</v>
      </c>
      <c r="G37" s="3">
        <f>'CARGO 17'!$D37*'CARGO 17'!$E37</f>
        <v>85910</v>
      </c>
      <c r="H37" s="3">
        <f>600+18900+70000</f>
        <v>89500</v>
      </c>
      <c r="I37" s="3">
        <f>I36+'CARGO 17'!$H37</f>
        <v>751916</v>
      </c>
      <c r="J37" s="42" t="e">
        <f>J36+'CARGO 17'!$G37-'CARGO 17'!$F37-'CARGO 17'!$H37</f>
        <v>#VALUE!</v>
      </c>
    </row>
    <row r="38" spans="2:10" ht="15">
      <c r="B38" s="39">
        <v>43336</v>
      </c>
      <c r="C38" s="31">
        <f t="shared" si="2"/>
        <v>52</v>
      </c>
      <c r="D38" s="3">
        <v>52</v>
      </c>
      <c r="E38" s="68">
        <v>110</v>
      </c>
      <c r="F38" s="3">
        <v>5060</v>
      </c>
      <c r="G38" s="3">
        <f>'CARGO 17'!$D38*'CARGO 17'!$E38</f>
        <v>5720</v>
      </c>
      <c r="H38" s="3">
        <f>22000+10000</f>
        <v>32000</v>
      </c>
      <c r="I38" s="3">
        <f>I37+'CARGO 17'!$H38</f>
        <v>783916</v>
      </c>
      <c r="J38" s="42" t="e">
        <f>J37+'CARGO 17'!$G38-'CARGO 17'!$F38-'CARGO 17'!$H38</f>
        <v>#VALUE!</v>
      </c>
    </row>
    <row r="39" spans="2:10" ht="15">
      <c r="B39" s="39">
        <v>43337</v>
      </c>
      <c r="C39" s="31">
        <f t="shared" si="2"/>
        <v>0</v>
      </c>
      <c r="D39" s="3"/>
      <c r="E39" s="68">
        <v>110</v>
      </c>
      <c r="F39" s="3"/>
      <c r="G39" s="3">
        <f>'CARGO 17'!$D39*'CARGO 17'!$E39</f>
        <v>0</v>
      </c>
      <c r="H39" s="3"/>
      <c r="I39" s="3">
        <f>I38+'CARGO 17'!$H39</f>
        <v>783916</v>
      </c>
      <c r="J39" s="42" t="e">
        <f>J38+'CARGO 17'!$G39-'CARGO 17'!$F39-'CARGO 17'!$H39</f>
        <v>#VALUE!</v>
      </c>
    </row>
    <row r="40" spans="2:10" ht="15">
      <c r="B40" s="39">
        <v>43338</v>
      </c>
      <c r="C40" s="31">
        <f t="shared" si="2"/>
        <v>0</v>
      </c>
      <c r="D40" s="3"/>
      <c r="E40" s="68">
        <v>110</v>
      </c>
      <c r="F40" s="3"/>
      <c r="G40" s="3">
        <f>'CARGO 17'!$D40*'CARGO 17'!$E40</f>
        <v>0</v>
      </c>
      <c r="H40" s="3"/>
      <c r="I40" s="3">
        <f>I39+'CARGO 17'!$H40</f>
        <v>783916</v>
      </c>
      <c r="J40" s="42" t="e">
        <f>J39+'CARGO 17'!$G40-'CARGO 17'!$F40-'CARGO 17'!$H40</f>
        <v>#VALUE!</v>
      </c>
    </row>
    <row r="41" spans="2:10" ht="15">
      <c r="B41" s="39">
        <v>43339</v>
      </c>
      <c r="C41" s="31">
        <f>C40-D40</f>
        <v>0</v>
      </c>
      <c r="D41" s="3"/>
      <c r="E41" s="68">
        <v>110</v>
      </c>
      <c r="F41" s="3"/>
      <c r="G41" s="3">
        <f>'CARGO 17'!$D41*'CARGO 17'!$E41</f>
        <v>0</v>
      </c>
      <c r="H41" s="3"/>
      <c r="I41" s="3">
        <f>I40+'CARGO 17'!$H41</f>
        <v>783916</v>
      </c>
      <c r="J41" s="42" t="e">
        <f>J40+'CARGO 17'!$G41-'CARGO 17'!$F41-'CARGO 17'!$H41</f>
        <v>#VALUE!</v>
      </c>
    </row>
    <row r="42" spans="2:10" ht="15">
      <c r="B42" s="39">
        <v>43340</v>
      </c>
      <c r="C42" s="31">
        <f>C41-D41</f>
        <v>0</v>
      </c>
      <c r="D42" s="3"/>
      <c r="E42" s="68">
        <v>110</v>
      </c>
      <c r="F42" s="3"/>
      <c r="G42" s="3"/>
      <c r="H42" s="3"/>
      <c r="I42" s="3">
        <f>I41+'CARGO 17'!$H42</f>
        <v>783916</v>
      </c>
      <c r="J42" s="42" t="e">
        <f>J41+'CARGO 17'!$G42-'CARGO 17'!$F42-'CARGO 17'!$H42</f>
        <v>#VALUE!</v>
      </c>
    </row>
    <row r="43" spans="2:10" ht="15">
      <c r="B43" s="39">
        <v>43341</v>
      </c>
      <c r="C43" s="31">
        <f>C42-D42</f>
        <v>0</v>
      </c>
      <c r="D43" s="3"/>
      <c r="E43" s="68">
        <v>110</v>
      </c>
      <c r="F43" s="3"/>
      <c r="G43" s="3"/>
      <c r="H43" s="3"/>
      <c r="I43" s="3">
        <f>I42+'CARGO 17'!$H43</f>
        <v>783916</v>
      </c>
      <c r="J43" s="42" t="e">
        <f>J42+'CARGO 17'!$G43-'CARGO 17'!$F43-'CARGO 17'!$H43</f>
        <v>#VALUE!</v>
      </c>
    </row>
    <row r="44" spans="2:10" ht="15">
      <c r="B44" s="39"/>
      <c r="C44" s="59"/>
      <c r="D44" s="3"/>
      <c r="E44" s="70"/>
      <c r="F44" s="3"/>
      <c r="G44" s="3"/>
      <c r="H44" s="3"/>
      <c r="I44" s="3"/>
      <c r="J44" s="42"/>
    </row>
    <row r="45" spans="2:10" ht="15">
      <c r="B45" s="15"/>
      <c r="C45" s="15"/>
      <c r="D45" s="15">
        <f>SUM(D28:D44)</f>
        <v>10000</v>
      </c>
      <c r="E45" s="15"/>
      <c r="F45" s="15">
        <f>SUM(F28:F44)</f>
        <v>67991</v>
      </c>
      <c r="G45" s="15">
        <f>SUM(G28:G44)</f>
        <v>1098150</v>
      </c>
      <c r="H45" s="15">
        <f>SUM(H28:H44)</f>
        <v>783916</v>
      </c>
      <c r="I45" s="15"/>
      <c r="J45" s="42"/>
    </row>
    <row r="46" spans="2:10" ht="15">
      <c r="B46" s="39"/>
      <c r="C46" s="31"/>
      <c r="D46" s="48"/>
      <c r="E46" s="68">
        <v>106</v>
      </c>
      <c r="F46" s="48"/>
      <c r="G46" s="3"/>
      <c r="H46" s="48"/>
      <c r="I46" s="3"/>
      <c r="J46" s="42"/>
    </row>
    <row r="47" spans="2:10" ht="15">
      <c r="B47" s="60" t="s">
        <v>26</v>
      </c>
      <c r="C47" s="8"/>
      <c r="D47" s="8">
        <f>D21*20</f>
        <v>1480</v>
      </c>
      <c r="E47" s="68"/>
      <c r="F47" s="8">
        <f>F21</f>
        <v>7000</v>
      </c>
      <c r="G47" s="8">
        <f>G21</f>
        <v>162530</v>
      </c>
      <c r="H47" s="8">
        <f>H21</f>
        <v>139524</v>
      </c>
      <c r="I47" s="8"/>
      <c r="J47" s="61"/>
    </row>
    <row r="48" spans="2:10" ht="15">
      <c r="B48" s="63"/>
      <c r="C48" s="64"/>
      <c r="D48" s="64"/>
      <c r="E48" s="64"/>
      <c r="F48" s="64"/>
      <c r="G48" s="64"/>
      <c r="H48" s="64">
        <f>H45+H47</f>
        <v>923440</v>
      </c>
      <c r="I48" s="64">
        <f>G45-H48</f>
        <v>174710</v>
      </c>
      <c r="J48" s="65"/>
    </row>
    <row r="49" spans="3:10" ht="15">
      <c r="C49" s="62" t="s">
        <v>52</v>
      </c>
      <c r="D49" s="53">
        <f>C18*20</f>
        <v>0</v>
      </c>
      <c r="E49" s="12"/>
      <c r="F49" s="12"/>
      <c r="G49" s="12"/>
      <c r="H49" s="12"/>
      <c r="I49" s="20"/>
      <c r="J49" s="17"/>
    </row>
    <row r="50" spans="3:10" ht="15">
      <c r="C50" s="12" t="s">
        <v>51</v>
      </c>
      <c r="D50" s="53">
        <f>D45-D47-D49</f>
        <v>8520</v>
      </c>
      <c r="E50" s="12"/>
      <c r="F50" s="12" t="s">
        <v>50</v>
      </c>
      <c r="G50" s="53">
        <f>D50*E46</f>
        <v>903120</v>
      </c>
      <c r="H50" s="12"/>
      <c r="I50" s="20"/>
      <c r="J50" s="17"/>
    </row>
    <row r="51" spans="4:10" ht="15">
      <c r="D51" s="12"/>
      <c r="E51" s="12"/>
      <c r="F51" s="12" t="s">
        <v>53</v>
      </c>
      <c r="G51" s="53">
        <f>G50-F45-H45</f>
        <v>51213</v>
      </c>
      <c r="H51" s="53">
        <f>G47-F47-H47</f>
        <v>16006</v>
      </c>
      <c r="I51" s="20"/>
      <c r="J51" s="55">
        <f>H48-H29</f>
        <v>859910</v>
      </c>
    </row>
    <row r="52" spans="2:3" s="12" customFormat="1" ht="15">
      <c r="B52" s="12" t="s">
        <v>60</v>
      </c>
      <c r="C52" s="12">
        <v>369184</v>
      </c>
    </row>
    <row r="53" ht="15">
      <c r="E53" s="12"/>
    </row>
    <row r="54" ht="15">
      <c r="E54" s="12"/>
    </row>
    <row r="55" spans="5:6" ht="15">
      <c r="E55" s="12"/>
      <c r="F55" s="20"/>
    </row>
    <row r="237" ht="15">
      <c r="M237">
        <v>48</v>
      </c>
    </row>
  </sheetData>
  <sheetProtection/>
  <mergeCells count="2">
    <mergeCell ref="C2:I2"/>
    <mergeCell ref="C25:I25"/>
  </mergeCells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2:N237"/>
  <sheetViews>
    <sheetView zoomScalePageLayoutView="0" workbookViewId="0" topLeftCell="B1">
      <selection activeCell="F33" sqref="F33"/>
    </sheetView>
  </sheetViews>
  <sheetFormatPr defaultColWidth="9.140625" defaultRowHeight="15"/>
  <cols>
    <col min="2" max="2" width="11.00390625" style="0" customWidth="1"/>
    <col min="3" max="3" width="18.421875" style="0" customWidth="1"/>
    <col min="5" max="5" width="12.140625" style="0" customWidth="1"/>
    <col min="6" max="6" width="15.00390625" style="0" customWidth="1"/>
    <col min="7" max="7" width="13.421875" style="0" customWidth="1"/>
    <col min="8" max="8" width="13.140625" style="0" customWidth="1"/>
    <col min="9" max="9" width="14.421875" style="0" customWidth="1"/>
    <col min="10" max="11" width="10.28125" style="0" customWidth="1"/>
  </cols>
  <sheetData>
    <row r="2" spans="3:9" ht="18.75">
      <c r="C2" s="142" t="s">
        <v>26</v>
      </c>
      <c r="D2" s="142"/>
      <c r="E2" s="142"/>
      <c r="F2" s="142"/>
      <c r="G2" s="142"/>
      <c r="H2" s="142"/>
      <c r="I2" s="142"/>
    </row>
    <row r="3" spans="2:11" ht="15">
      <c r="B3" s="44" t="s">
        <v>0</v>
      </c>
      <c r="C3" s="45" t="s">
        <v>69</v>
      </c>
      <c r="D3" s="45" t="s">
        <v>70</v>
      </c>
      <c r="E3" s="45" t="s">
        <v>71</v>
      </c>
      <c r="F3" s="45" t="s">
        <v>6</v>
      </c>
      <c r="G3" s="45" t="s">
        <v>72</v>
      </c>
      <c r="H3" s="45" t="s">
        <v>3</v>
      </c>
      <c r="I3" s="45" t="s">
        <v>9</v>
      </c>
      <c r="J3" s="46" t="s">
        <v>8</v>
      </c>
      <c r="K3" s="98" t="s">
        <v>127</v>
      </c>
    </row>
    <row r="4" spans="2:11" ht="15">
      <c r="B4" s="56"/>
      <c r="C4" s="28"/>
      <c r="D4" s="28"/>
      <c r="E4" s="28">
        <v>101.1</v>
      </c>
      <c r="F4" s="50"/>
      <c r="G4" s="50">
        <f>'CARGO 18'!$E4*'CARGO 18'!$C4</f>
        <v>0</v>
      </c>
      <c r="H4" s="50"/>
      <c r="I4" s="50">
        <f>'CARGO 18'!$G4-'CARGO 18'!$F4</f>
        <v>0</v>
      </c>
      <c r="J4" s="51">
        <f>'CARGO 18'!$I4-'CARGO 18'!$H4</f>
        <v>0</v>
      </c>
      <c r="K4" s="97"/>
    </row>
    <row r="5" spans="2:14" ht="15">
      <c r="B5" s="39">
        <v>43337</v>
      </c>
      <c r="C5" s="3">
        <f>23-1</f>
        <v>22</v>
      </c>
      <c r="D5" s="3">
        <v>12</v>
      </c>
      <c r="E5" s="68">
        <f>20*110</f>
        <v>2200</v>
      </c>
      <c r="F5" s="31"/>
      <c r="G5" s="3">
        <f>'CARGO 18'!$D5*'CARGO 18'!$E5</f>
        <v>26400</v>
      </c>
      <c r="H5" s="31"/>
      <c r="I5" s="3">
        <f>'CARGO 18'!$H5</f>
        <v>0</v>
      </c>
      <c r="J5" s="42">
        <f>'CARGO 18'!$G5-'CARGO 18'!$F5-'CARGO 18'!$H5</f>
        <v>26400</v>
      </c>
      <c r="K5" s="95"/>
      <c r="L5" s="50">
        <f>G5-H6</f>
        <v>13000</v>
      </c>
      <c r="N5" s="93"/>
    </row>
    <row r="6" spans="2:11" ht="15">
      <c r="B6" s="39">
        <v>43338</v>
      </c>
      <c r="C6" s="3">
        <f>C5-D5+22-2</f>
        <v>30</v>
      </c>
      <c r="D6" s="25">
        <v>8</v>
      </c>
      <c r="E6" s="68">
        <f>20*110</f>
        <v>2200</v>
      </c>
      <c r="F6" s="30"/>
      <c r="G6" s="3">
        <f>'CARGO 18'!$D6*'CARGO 18'!$E6</f>
        <v>17600</v>
      </c>
      <c r="H6" s="31">
        <f>13400</f>
        <v>13400</v>
      </c>
      <c r="I6" s="3">
        <f>I5+'CARGO 18'!$H6</f>
        <v>13400</v>
      </c>
      <c r="J6" s="42">
        <f>J5+'CARGO 18'!$G6-'CARGO 18'!$F6-'CARGO 18'!$H6</f>
        <v>30600</v>
      </c>
      <c r="K6" s="95">
        <v>78</v>
      </c>
    </row>
    <row r="7" spans="2:11" ht="15">
      <c r="B7" s="39">
        <v>43339</v>
      </c>
      <c r="C7" s="3">
        <f aca="true" t="shared" si="0" ref="C7:C19">C6-D6</f>
        <v>22</v>
      </c>
      <c r="D7" s="3">
        <v>12</v>
      </c>
      <c r="E7" s="68">
        <f>20*110</f>
        <v>2200</v>
      </c>
      <c r="F7" s="3"/>
      <c r="G7" s="3">
        <f>'CARGO 18'!$D7*'CARGO 18'!$E7</f>
        <v>26400</v>
      </c>
      <c r="H7" s="31">
        <f>12841+11130</f>
        <v>23971</v>
      </c>
      <c r="I7" s="3">
        <f>I6+'CARGO 18'!$H7</f>
        <v>37371</v>
      </c>
      <c r="J7" s="42">
        <f>J6+'CARGO 18'!$G7-'CARGO 18'!$F7-'CARGO 18'!$H7</f>
        <v>33029</v>
      </c>
      <c r="K7" s="95">
        <f>78+70</f>
        <v>148</v>
      </c>
    </row>
    <row r="8" spans="2:13" ht="15">
      <c r="B8" s="39">
        <v>43340</v>
      </c>
      <c r="C8" s="3">
        <f t="shared" si="0"/>
        <v>10</v>
      </c>
      <c r="D8" s="3">
        <v>6</v>
      </c>
      <c r="E8" s="68">
        <f aca="true" t="shared" si="1" ref="E8:E19">20*110</f>
        <v>2200</v>
      </c>
      <c r="F8" s="3"/>
      <c r="G8" s="3">
        <f>'CARGO 18'!$D8*'CARGO 18'!$E8</f>
        <v>13200</v>
      </c>
      <c r="H8" s="3">
        <f>5759</f>
        <v>5759</v>
      </c>
      <c r="I8" s="3">
        <f>I7+'CARGO 18'!$H8</f>
        <v>43130</v>
      </c>
      <c r="J8" s="42">
        <f>J7+'CARGO 18'!$G8-'CARGO 18'!$F8-'CARGO 18'!$H8</f>
        <v>40470</v>
      </c>
      <c r="K8" s="96">
        <f>41</f>
        <v>41</v>
      </c>
      <c r="M8" s="20"/>
    </row>
    <row r="9" spans="2:11" ht="15">
      <c r="B9" s="39">
        <v>43341</v>
      </c>
      <c r="C9" s="3">
        <f>C8-D8+25</f>
        <v>29</v>
      </c>
      <c r="D9" s="3">
        <v>2</v>
      </c>
      <c r="E9" s="68">
        <f t="shared" si="1"/>
        <v>2200</v>
      </c>
      <c r="F9" s="3"/>
      <c r="G9" s="3">
        <f>'CARGO 18'!$D9*'CARGO 18'!$E9</f>
        <v>4400</v>
      </c>
      <c r="H9" s="31">
        <f>14000</f>
        <v>14000</v>
      </c>
      <c r="I9" s="3">
        <f>I8+'CARGO 18'!$H9</f>
        <v>57130</v>
      </c>
      <c r="J9" s="42">
        <f>J8+'CARGO 18'!$G9-'CARGO 18'!$F9-'CARGO 18'!$H9</f>
        <v>30870</v>
      </c>
      <c r="K9" s="96">
        <f>81</f>
        <v>81</v>
      </c>
    </row>
    <row r="10" spans="2:12" ht="15">
      <c r="B10" s="39">
        <v>43342</v>
      </c>
      <c r="C10" s="3">
        <f t="shared" si="0"/>
        <v>27</v>
      </c>
      <c r="D10" s="3">
        <v>5</v>
      </c>
      <c r="E10" s="68">
        <f t="shared" si="1"/>
        <v>2200</v>
      </c>
      <c r="F10" s="3"/>
      <c r="G10" s="3">
        <f>'CARGO 18'!$D10*'CARGO 18'!$E10</f>
        <v>11000</v>
      </c>
      <c r="H10" s="31">
        <f>16803</f>
        <v>16803</v>
      </c>
      <c r="I10" s="3">
        <f>I9+'CARGO 18'!$H10</f>
        <v>73933</v>
      </c>
      <c r="J10" s="42">
        <f>J9+'CARGO 18'!$G10-'CARGO 18'!$F10-'CARGO 18'!$H10</f>
        <v>25067</v>
      </c>
      <c r="K10" s="96">
        <v>97</v>
      </c>
      <c r="L10" s="20"/>
    </row>
    <row r="11" spans="2:12" ht="15">
      <c r="B11" s="39">
        <v>43343</v>
      </c>
      <c r="C11" s="3">
        <f t="shared" si="0"/>
        <v>22</v>
      </c>
      <c r="D11" s="3">
        <v>7</v>
      </c>
      <c r="E11" s="68">
        <f t="shared" si="1"/>
        <v>2200</v>
      </c>
      <c r="F11" s="3"/>
      <c r="G11" s="3">
        <f>'CARGO 18'!$D11*'CARGO 18'!$E11</f>
        <v>15400</v>
      </c>
      <c r="H11" s="31">
        <f>12200</f>
        <v>12200</v>
      </c>
      <c r="I11" s="3">
        <f>I10+'CARGO 18'!$H11</f>
        <v>86133</v>
      </c>
      <c r="J11" s="42">
        <f>J10+'CARGO 18'!$G11-'CARGO 18'!$F11-'CARGO 18'!$H11</f>
        <v>28267</v>
      </c>
      <c r="K11" s="96">
        <f>77</f>
        <v>77</v>
      </c>
      <c r="L11" s="20"/>
    </row>
    <row r="12" spans="2:12" ht="15">
      <c r="B12" s="39">
        <v>43344</v>
      </c>
      <c r="C12" s="3">
        <f t="shared" si="0"/>
        <v>15</v>
      </c>
      <c r="D12" s="3">
        <v>10</v>
      </c>
      <c r="E12" s="68">
        <f t="shared" si="1"/>
        <v>2200</v>
      </c>
      <c r="F12" s="3"/>
      <c r="G12" s="3">
        <f>'CARGO 18'!$D12*'CARGO 18'!$E12</f>
        <v>22000</v>
      </c>
      <c r="H12" s="101">
        <v>4591</v>
      </c>
      <c r="I12" s="3">
        <f>I11+'CARGO 18'!$H12</f>
        <v>90724</v>
      </c>
      <c r="J12" s="42">
        <f>J11+'CARGO 18'!$G12-'CARGO 18'!$F12-'CARGO 18'!$H12</f>
        <v>45676</v>
      </c>
      <c r="K12" s="96"/>
      <c r="L12" s="20"/>
    </row>
    <row r="13" spans="2:14" ht="15">
      <c r="B13" s="39">
        <v>43345</v>
      </c>
      <c r="C13" s="3">
        <f t="shared" si="0"/>
        <v>5</v>
      </c>
      <c r="D13" s="3">
        <v>5</v>
      </c>
      <c r="E13" s="68">
        <f t="shared" si="1"/>
        <v>2200</v>
      </c>
      <c r="F13" s="3">
        <v>4000</v>
      </c>
      <c r="G13" s="3">
        <f>'CARGO 18'!$D13*'CARGO 18'!$E13</f>
        <v>11000</v>
      </c>
      <c r="H13" s="31">
        <f>10100</f>
        <v>10100</v>
      </c>
      <c r="I13" s="3">
        <f>I12+'CARGO 18'!$H13</f>
        <v>100824</v>
      </c>
      <c r="J13" s="42">
        <f>J12+'CARGO 18'!$G13-'CARGO 18'!$F13-'CARGO 18'!$H13</f>
        <v>42576</v>
      </c>
      <c r="K13" s="96">
        <f>50</f>
        <v>50</v>
      </c>
      <c r="L13" s="20"/>
      <c r="N13" s="92"/>
    </row>
    <row r="14" spans="2:12" ht="15">
      <c r="B14" s="39">
        <v>43346</v>
      </c>
      <c r="C14" s="3">
        <f t="shared" si="0"/>
        <v>0</v>
      </c>
      <c r="D14" s="3"/>
      <c r="E14" s="68">
        <f t="shared" si="1"/>
        <v>2200</v>
      </c>
      <c r="F14" s="3"/>
      <c r="G14" s="3">
        <f>'CARGO 18'!$D14*'CARGO 18'!$E14</f>
        <v>0</v>
      </c>
      <c r="H14" s="31">
        <f>5174</f>
        <v>5174</v>
      </c>
      <c r="I14" s="3">
        <f>I13+'CARGO 18'!$H14</f>
        <v>105998</v>
      </c>
      <c r="J14" s="42">
        <f>J13+'CARGO 18'!$G14-'CARGO 18'!$F14-'CARGO 18'!$H14</f>
        <v>37402</v>
      </c>
      <c r="K14" s="96">
        <v>41</v>
      </c>
      <c r="L14" s="20"/>
    </row>
    <row r="15" spans="2:11" ht="15">
      <c r="B15" s="39">
        <v>43347</v>
      </c>
      <c r="C15" s="3">
        <f t="shared" si="0"/>
        <v>0</v>
      </c>
      <c r="D15" s="3"/>
      <c r="E15" s="68">
        <f t="shared" si="1"/>
        <v>2200</v>
      </c>
      <c r="F15" s="3"/>
      <c r="G15" s="3">
        <f>'CARGO 18'!$D15*'CARGO 18'!$E15</f>
        <v>0</v>
      </c>
      <c r="H15" s="31"/>
      <c r="I15" s="3">
        <f>I14+'CARGO 18'!$H15</f>
        <v>105998</v>
      </c>
      <c r="J15" s="42">
        <f>J14+'CARGO 18'!$G15-'CARGO 18'!$F15-'CARGO 18'!$H15</f>
        <v>37402</v>
      </c>
      <c r="K15" s="96"/>
    </row>
    <row r="16" spans="2:11" ht="15">
      <c r="B16" s="39">
        <v>43348</v>
      </c>
      <c r="C16" s="3">
        <f t="shared" si="0"/>
        <v>0</v>
      </c>
      <c r="D16" s="3"/>
      <c r="E16" s="68">
        <f t="shared" si="1"/>
        <v>2200</v>
      </c>
      <c r="F16" s="3"/>
      <c r="G16" s="3">
        <f>'CARGO 18'!$D16*'CARGO 18'!$E16</f>
        <v>0</v>
      </c>
      <c r="H16" s="3">
        <v>20000</v>
      </c>
      <c r="I16" s="3">
        <f>I15+'CARGO 18'!$H16</f>
        <v>125998</v>
      </c>
      <c r="J16" s="42">
        <f>J15+'CARGO 18'!$G16-'CARGO 18'!$F16-'CARGO 18'!$H16</f>
        <v>17402</v>
      </c>
      <c r="K16" s="96">
        <v>100</v>
      </c>
    </row>
    <row r="17" spans="2:11" ht="15">
      <c r="B17" s="39">
        <v>43349</v>
      </c>
      <c r="C17" s="3">
        <f t="shared" si="0"/>
        <v>0</v>
      </c>
      <c r="D17" s="3"/>
      <c r="E17" s="68">
        <f t="shared" si="1"/>
        <v>2200</v>
      </c>
      <c r="F17" s="3"/>
      <c r="G17" s="3">
        <f>'CARGO 18'!$D17*'CARGO 18'!$E17</f>
        <v>0</v>
      </c>
      <c r="H17" s="31"/>
      <c r="I17" s="3">
        <f>I16+'CARGO 18'!$H17</f>
        <v>125998</v>
      </c>
      <c r="J17" s="42">
        <f>J16+'CARGO 18'!$G17-'CARGO 18'!$F17-'CARGO 18'!$H17</f>
        <v>17402</v>
      </c>
      <c r="K17" s="96"/>
    </row>
    <row r="18" spans="2:11" ht="15">
      <c r="B18" s="39">
        <v>43350</v>
      </c>
      <c r="C18" s="3">
        <f t="shared" si="0"/>
        <v>0</v>
      </c>
      <c r="D18" s="3"/>
      <c r="E18" s="68">
        <f t="shared" si="1"/>
        <v>2200</v>
      </c>
      <c r="F18" s="3">
        <f>K21</f>
        <v>749.37</v>
      </c>
      <c r="G18" s="3">
        <f>'CARGO 18'!$D18*'CARGO 18'!$E18</f>
        <v>0</v>
      </c>
      <c r="H18" s="31">
        <f>7275+5800+3150</f>
        <v>16225</v>
      </c>
      <c r="I18" s="3">
        <f>I17+'CARGO 18'!$H18</f>
        <v>142223</v>
      </c>
      <c r="J18" s="42">
        <f>J17+'CARGO 18'!$G18-'CARGO 18'!$F18-'CARGO 18'!$H18</f>
        <v>427.630000000001</v>
      </c>
      <c r="K18" s="96">
        <v>36.37</v>
      </c>
    </row>
    <row r="19" spans="2:11" ht="15">
      <c r="B19" s="39">
        <v>43351</v>
      </c>
      <c r="C19" s="3">
        <f t="shared" si="0"/>
        <v>0</v>
      </c>
      <c r="D19" s="3"/>
      <c r="E19" s="68">
        <f t="shared" si="1"/>
        <v>2200</v>
      </c>
      <c r="F19" s="3"/>
      <c r="G19" s="3">
        <f>'CARGO 18'!$D19*'CARGO 18'!$E19</f>
        <v>0</v>
      </c>
      <c r="H19" s="31"/>
      <c r="I19" s="3">
        <f>I18+'CARGO 18'!$H19</f>
        <v>142223</v>
      </c>
      <c r="J19" s="42">
        <f>J18+'CARGO 18'!$G19-'CARGO 18'!$F19-'CARGO 18'!$H19</f>
        <v>427.630000000001</v>
      </c>
      <c r="K19" s="96"/>
    </row>
    <row r="20" spans="2:11" ht="15">
      <c r="B20" s="39"/>
      <c r="C20" s="59"/>
      <c r="D20" s="3"/>
      <c r="E20" s="70"/>
      <c r="F20" s="3"/>
      <c r="G20" s="3">
        <f>'CARGO 18'!$D20*'CARGO 18'!$E20</f>
        <v>0</v>
      </c>
      <c r="H20" s="3"/>
      <c r="I20" s="3"/>
      <c r="J20" s="42"/>
      <c r="K20" s="96"/>
    </row>
    <row r="21" spans="2:11" ht="15">
      <c r="B21" s="15"/>
      <c r="C21" s="15"/>
      <c r="D21" s="15">
        <f>SUM(D4:D19)</f>
        <v>67</v>
      </c>
      <c r="E21" s="15"/>
      <c r="F21" s="15">
        <f>SUM(F5:F19)</f>
        <v>4749.37</v>
      </c>
      <c r="G21" s="15">
        <f>SUM(G5:G19)</f>
        <v>147400</v>
      </c>
      <c r="H21" s="15">
        <f>SUM(H5:H19)</f>
        <v>142223</v>
      </c>
      <c r="I21" s="15"/>
      <c r="J21" s="15"/>
      <c r="K21" s="15">
        <f>SUM(K5:K19)</f>
        <v>749.37</v>
      </c>
    </row>
    <row r="22" spans="2:11" ht="15">
      <c r="B22" s="63"/>
      <c r="C22" s="64"/>
      <c r="D22" s="64"/>
      <c r="E22" s="64"/>
      <c r="F22" s="64"/>
      <c r="G22" s="64"/>
      <c r="H22" s="64"/>
      <c r="I22" s="64"/>
      <c r="J22" s="65"/>
      <c r="K22" s="65"/>
    </row>
    <row r="23" spans="10:11" ht="15">
      <c r="J23" s="20"/>
      <c r="K23" s="20"/>
    </row>
    <row r="24" spans="6:8" ht="15">
      <c r="F24" s="20"/>
      <c r="G24" s="20"/>
      <c r="H24" s="20"/>
    </row>
    <row r="25" spans="3:9" ht="18.75">
      <c r="C25" s="142" t="s">
        <v>73</v>
      </c>
      <c r="D25" s="142"/>
      <c r="E25" s="142"/>
      <c r="F25" s="142"/>
      <c r="G25" s="142"/>
      <c r="H25" s="142"/>
      <c r="I25" s="142"/>
    </row>
    <row r="26" spans="2:11" ht="15">
      <c r="B26" s="44" t="s">
        <v>0</v>
      </c>
      <c r="C26" s="45" t="s">
        <v>69</v>
      </c>
      <c r="D26" s="45" t="s">
        <v>70</v>
      </c>
      <c r="E26" s="45" t="s">
        <v>71</v>
      </c>
      <c r="F26" s="45" t="s">
        <v>6</v>
      </c>
      <c r="G26" s="45" t="s">
        <v>72</v>
      </c>
      <c r="H26" s="45" t="s">
        <v>3</v>
      </c>
      <c r="I26" s="45" t="s">
        <v>9</v>
      </c>
      <c r="J26" s="46" t="s">
        <v>8</v>
      </c>
      <c r="K26" s="98" t="s">
        <v>127</v>
      </c>
    </row>
    <row r="27" spans="2:13" ht="15">
      <c r="B27" s="56"/>
      <c r="C27" s="28">
        <v>10000</v>
      </c>
      <c r="D27" s="28"/>
      <c r="E27" s="28">
        <v>101</v>
      </c>
      <c r="F27" s="50"/>
      <c r="G27" s="50">
        <f>'CARGO 18'!$E27*'CARGO 18'!$C27</f>
        <v>1010000</v>
      </c>
      <c r="H27" s="50"/>
      <c r="I27" s="50">
        <f>'CARGO 18'!$G27-'CARGO 18'!$F27</f>
        <v>1010000</v>
      </c>
      <c r="J27" s="51">
        <f>'CARGO 18'!$I27-'CARGO 18'!$H27</f>
        <v>1010000</v>
      </c>
      <c r="K27" s="99"/>
      <c r="M27">
        <f>1144-507</f>
        <v>637</v>
      </c>
    </row>
    <row r="28" spans="2:11" ht="15">
      <c r="B28" s="39">
        <v>43337</v>
      </c>
      <c r="C28" s="3">
        <v>10000</v>
      </c>
      <c r="D28" s="3">
        <v>1311</v>
      </c>
      <c r="E28" s="68">
        <v>110</v>
      </c>
      <c r="F28" s="3">
        <f>1015+1150</f>
        <v>2165</v>
      </c>
      <c r="G28" s="3">
        <f>'CARGO 18'!$D28*'CARGO 18'!$E28</f>
        <v>144210</v>
      </c>
      <c r="H28" s="31"/>
      <c r="I28" s="3">
        <f>'CARGO 18'!$H28</f>
        <v>0</v>
      </c>
      <c r="J28" s="42">
        <f>'CARGO 18'!$G28-'CARGO 18'!$F28-'CARGO 18'!$H28</f>
        <v>142045</v>
      </c>
      <c r="K28" s="96"/>
    </row>
    <row r="29" spans="2:11" ht="15">
      <c r="B29" s="39">
        <v>43338</v>
      </c>
      <c r="C29" s="3">
        <f aca="true" t="shared" si="2" ref="C29:C40">C28-D28</f>
        <v>8689</v>
      </c>
      <c r="D29" s="25">
        <v>1723</v>
      </c>
      <c r="E29" s="68">
        <v>110</v>
      </c>
      <c r="F29" s="30">
        <f>1100+2000</f>
        <v>3100</v>
      </c>
      <c r="G29" s="3">
        <f>'CARGO 18'!$D29*'CARGO 18'!$E29</f>
        <v>189530</v>
      </c>
      <c r="H29" s="30">
        <f>70000+43280</f>
        <v>113280</v>
      </c>
      <c r="I29" s="3">
        <f>I28+'CARGO 18'!$H29</f>
        <v>113280</v>
      </c>
      <c r="J29" s="42">
        <f>J28+'CARGO 18'!$G29-'CARGO 18'!$F29-'CARGO 18'!$H29</f>
        <v>215195</v>
      </c>
      <c r="K29" s="96">
        <f>200+200</f>
        <v>400</v>
      </c>
    </row>
    <row r="30" spans="2:13" ht="15">
      <c r="B30" s="39">
        <v>43339</v>
      </c>
      <c r="C30" s="31">
        <f t="shared" si="2"/>
        <v>6966</v>
      </c>
      <c r="D30" s="3">
        <v>799</v>
      </c>
      <c r="E30" s="68">
        <v>110</v>
      </c>
      <c r="F30" s="3">
        <f>1015+10087+36705</f>
        <v>47807</v>
      </c>
      <c r="G30" s="3">
        <f>'CARGO 18'!$D30*'CARGO 18'!$E30</f>
        <v>87890</v>
      </c>
      <c r="H30" s="3"/>
      <c r="I30" s="3">
        <f>I29+'CARGO 18'!$H30</f>
        <v>113280</v>
      </c>
      <c r="J30" s="42">
        <f>J29+'CARGO 18'!$G30-'CARGO 18'!$F30-'CARGO 18'!$H30</f>
        <v>255278</v>
      </c>
      <c r="K30" s="96"/>
      <c r="M30" s="20">
        <v>11195</v>
      </c>
    </row>
    <row r="31" spans="2:11" ht="15">
      <c r="B31" s="39">
        <v>43340</v>
      </c>
      <c r="C31" s="31">
        <f t="shared" si="2"/>
        <v>6167</v>
      </c>
      <c r="D31" s="3">
        <v>1664</v>
      </c>
      <c r="E31" s="68">
        <v>110</v>
      </c>
      <c r="F31" s="3">
        <f>1000+150+300</f>
        <v>1450</v>
      </c>
      <c r="G31" s="3">
        <f>'CARGO 18'!$D31*'CARGO 18'!$E31</f>
        <v>183040</v>
      </c>
      <c r="H31" s="3"/>
      <c r="I31" s="3">
        <f>I30+'CARGO 18'!$H31</f>
        <v>113280</v>
      </c>
      <c r="J31" s="42">
        <f>J30+'CARGO 18'!$G31-'CARGO 18'!$F31-'CARGO 18'!$H31</f>
        <v>436868</v>
      </c>
      <c r="K31" s="96"/>
    </row>
    <row r="32" spans="2:11" ht="15">
      <c r="B32" s="39">
        <v>43341</v>
      </c>
      <c r="C32" s="31">
        <f t="shared" si="2"/>
        <v>4503</v>
      </c>
      <c r="D32" s="3">
        <v>722</v>
      </c>
      <c r="E32" s="68">
        <v>110</v>
      </c>
      <c r="F32" s="3">
        <f>1000+1300+10000</f>
        <v>12300</v>
      </c>
      <c r="G32" s="3">
        <f>'CARGO 18'!$D32*'CARGO 18'!$E32</f>
        <v>79420</v>
      </c>
      <c r="H32" s="3">
        <f>70000+192300</f>
        <v>262300</v>
      </c>
      <c r="I32" s="3">
        <f>I31+'CARGO 18'!$H32</f>
        <v>375580</v>
      </c>
      <c r="J32" s="42">
        <f>J31+'CARGO 18'!$G32-'CARGO 18'!$F32-'CARGO 18'!$H32</f>
        <v>241688</v>
      </c>
      <c r="K32" s="96">
        <v>200</v>
      </c>
    </row>
    <row r="33" spans="2:11" ht="15">
      <c r="B33" s="39">
        <v>43342</v>
      </c>
      <c r="C33" s="31">
        <f t="shared" si="2"/>
        <v>3781</v>
      </c>
      <c r="D33" s="3">
        <v>392</v>
      </c>
      <c r="E33" s="68">
        <v>110</v>
      </c>
      <c r="F33" s="3">
        <f>100+15097+1000</f>
        <v>16197</v>
      </c>
      <c r="G33" s="3">
        <f>'CARGO 18'!$D33*'CARGO 18'!$E33</f>
        <v>43120</v>
      </c>
      <c r="H33" s="3"/>
      <c r="I33" s="3">
        <f>I32+'CARGO 18'!$H33</f>
        <v>375580</v>
      </c>
      <c r="J33" s="42">
        <f>J32+'CARGO 18'!$G33-'CARGO 18'!$F33-'CARGO 18'!$H33</f>
        <v>268611</v>
      </c>
      <c r="K33" s="96"/>
    </row>
    <row r="34" spans="2:11" ht="15">
      <c r="B34" s="39">
        <v>43343</v>
      </c>
      <c r="C34" s="31">
        <f t="shared" si="2"/>
        <v>3389</v>
      </c>
      <c r="D34" s="3">
        <v>933</v>
      </c>
      <c r="E34" s="68">
        <v>110</v>
      </c>
      <c r="F34" s="3">
        <f>300+2000</f>
        <v>2300</v>
      </c>
      <c r="G34" s="3">
        <f>'CARGO 18'!$D34*'CARGO 18'!$E34</f>
        <v>102630</v>
      </c>
      <c r="H34" s="3">
        <f>10000+1200+70000</f>
        <v>81200</v>
      </c>
      <c r="I34" s="3">
        <f>I33+'CARGO 18'!$H34</f>
        <v>456780</v>
      </c>
      <c r="J34" s="42">
        <f>J33+'CARGO 18'!$G34-'CARGO 18'!$F34-'CARGO 18'!$H34</f>
        <v>287741</v>
      </c>
      <c r="K34" s="96">
        <f>50+200</f>
        <v>250</v>
      </c>
    </row>
    <row r="35" spans="2:11" ht="15">
      <c r="B35" s="39">
        <v>43344</v>
      </c>
      <c r="C35" s="31">
        <f t="shared" si="2"/>
        <v>2456</v>
      </c>
      <c r="D35" s="3">
        <v>1030</v>
      </c>
      <c r="E35" s="68">
        <v>110</v>
      </c>
      <c r="F35" s="3">
        <f>300+300</f>
        <v>600</v>
      </c>
      <c r="G35" s="3">
        <f>'CARGO 18'!$D35*'CARGO 18'!$E35</f>
        <v>113300</v>
      </c>
      <c r="H35" s="3">
        <f>70000+11950+14590+70000</f>
        <v>166540</v>
      </c>
      <c r="I35" s="3">
        <f>I34+'CARGO 18'!$H35</f>
        <v>623320</v>
      </c>
      <c r="J35" s="42">
        <f>J34+'CARGO 18'!$G35-'CARGO 18'!$F35-'CARGO 18'!$H35</f>
        <v>233901</v>
      </c>
      <c r="K35" s="96">
        <f>200+59+72.95+200</f>
        <v>531.95</v>
      </c>
    </row>
    <row r="36" spans="2:14" ht="15">
      <c r="B36" s="39">
        <v>43345</v>
      </c>
      <c r="C36" s="31">
        <f t="shared" si="2"/>
        <v>1426</v>
      </c>
      <c r="D36" s="3">
        <v>522</v>
      </c>
      <c r="E36" s="68">
        <v>110</v>
      </c>
      <c r="F36" s="3">
        <f>1500+2000+3060</f>
        <v>6560</v>
      </c>
      <c r="G36" s="3">
        <f>'CARGO 18'!$D36*'CARGO 18'!$E36</f>
        <v>57420</v>
      </c>
      <c r="H36" s="3">
        <f>2000+4400+200+66000+1100</f>
        <v>73700</v>
      </c>
      <c r="I36" s="3">
        <f>I35+'CARGO 18'!$H36</f>
        <v>697020</v>
      </c>
      <c r="J36" s="42">
        <f>J35+'CARGO 18'!$G36-'CARGO 18'!$F36-'CARGO 18'!$H36</f>
        <v>211061</v>
      </c>
      <c r="K36" s="96">
        <f>200</f>
        <v>200</v>
      </c>
      <c r="N36">
        <v>77</v>
      </c>
    </row>
    <row r="37" spans="2:11" ht="15">
      <c r="B37" s="39">
        <v>43346</v>
      </c>
      <c r="C37" s="31">
        <f t="shared" si="2"/>
        <v>904</v>
      </c>
      <c r="D37" s="3">
        <f>227</f>
        <v>227</v>
      </c>
      <c r="E37" s="68">
        <v>125</v>
      </c>
      <c r="F37" s="3"/>
      <c r="G37" s="3">
        <f>'CARGO 18'!$D37*'CARGO 18'!$E37</f>
        <v>28375</v>
      </c>
      <c r="H37" s="3">
        <f>70000+8500+48400+2900+4000+6850</f>
        <v>140650</v>
      </c>
      <c r="I37" s="3">
        <f>I36+'CARGO 18'!$H37</f>
        <v>837670</v>
      </c>
      <c r="J37" s="42">
        <f>J36+'CARGO 18'!$G37-'CARGO 18'!$F37-'CARGO 18'!$H37</f>
        <v>98786</v>
      </c>
      <c r="K37" s="96">
        <f>200+200</f>
        <v>400</v>
      </c>
    </row>
    <row r="38" spans="2:11" ht="15">
      <c r="B38" s="39">
        <v>43347</v>
      </c>
      <c r="C38" s="31">
        <f t="shared" si="2"/>
        <v>677</v>
      </c>
      <c r="D38" s="3">
        <v>677</v>
      </c>
      <c r="E38" s="68">
        <v>125</v>
      </c>
      <c r="F38" s="3"/>
      <c r="G38" s="3">
        <f>'CARGO 18'!$D38*'CARGO 18'!$E38</f>
        <v>84625</v>
      </c>
      <c r="H38" s="3"/>
      <c r="I38" s="3">
        <f>I37+'CARGO 18'!$H38</f>
        <v>837670</v>
      </c>
      <c r="J38" s="42">
        <f>J37+'CARGO 18'!$G38-'CARGO 18'!$F38-'CARGO 18'!$H38</f>
        <v>183411</v>
      </c>
      <c r="K38" s="96"/>
    </row>
    <row r="39" spans="2:11" ht="15">
      <c r="B39" s="39">
        <v>43348</v>
      </c>
      <c r="C39" s="31">
        <f t="shared" si="2"/>
        <v>0</v>
      </c>
      <c r="D39" s="3"/>
      <c r="E39" s="68">
        <v>125</v>
      </c>
      <c r="F39" s="3"/>
      <c r="G39" s="3">
        <f>'CARGO 18'!$D39*'CARGO 18'!$E39</f>
        <v>0</v>
      </c>
      <c r="H39" s="3"/>
      <c r="I39" s="3">
        <f>I38+'CARGO 18'!$H39</f>
        <v>837670</v>
      </c>
      <c r="J39" s="42">
        <f>J38+'CARGO 18'!$G39-'CARGO 18'!$F39-'CARGO 18'!$H39</f>
        <v>183411</v>
      </c>
      <c r="K39" s="96"/>
    </row>
    <row r="40" spans="2:11" ht="15">
      <c r="B40" s="39">
        <v>43349</v>
      </c>
      <c r="C40" s="31">
        <f t="shared" si="2"/>
        <v>0</v>
      </c>
      <c r="D40" s="3"/>
      <c r="E40" s="68">
        <v>125</v>
      </c>
      <c r="F40" s="3"/>
      <c r="G40" s="3">
        <f>'CARGO 18'!$D40*'CARGO 18'!$E40</f>
        <v>0</v>
      </c>
      <c r="H40" s="3"/>
      <c r="I40" s="3">
        <f>I39+'CARGO 18'!$H40</f>
        <v>837670</v>
      </c>
      <c r="J40" s="42">
        <f>J39+'CARGO 18'!$G40-'CARGO 18'!$F40-'CARGO 18'!$H40</f>
        <v>183411</v>
      </c>
      <c r="K40" s="96"/>
    </row>
    <row r="41" spans="2:11" ht="15">
      <c r="B41" s="39">
        <v>43350</v>
      </c>
      <c r="C41" s="31">
        <f>C40-D40</f>
        <v>0</v>
      </c>
      <c r="D41" s="3"/>
      <c r="E41" s="68">
        <v>125</v>
      </c>
      <c r="F41" s="3"/>
      <c r="G41" s="3">
        <f>'CARGO 18'!$D41*'CARGO 18'!$E41</f>
        <v>0</v>
      </c>
      <c r="H41" s="3"/>
      <c r="I41" s="3">
        <f>I40+'CARGO 18'!$H41</f>
        <v>837670</v>
      </c>
      <c r="J41" s="42">
        <f>J40+'CARGO 18'!$G41-'CARGO 18'!$F41-'CARGO 18'!$H41</f>
        <v>183411</v>
      </c>
      <c r="K41" s="96"/>
    </row>
    <row r="42" spans="2:11" ht="15">
      <c r="B42" s="39">
        <v>43351</v>
      </c>
      <c r="C42" s="31">
        <f>C41-D41</f>
        <v>0</v>
      </c>
      <c r="D42" s="3"/>
      <c r="E42" s="68">
        <v>125</v>
      </c>
      <c r="F42" s="3"/>
      <c r="G42" s="3"/>
      <c r="H42" s="3"/>
      <c r="I42" s="3">
        <f>I41+'CARGO 18'!$H42</f>
        <v>837670</v>
      </c>
      <c r="J42" s="42">
        <f>J41+'CARGO 18'!$G42-'CARGO 18'!$F42-'CARGO 18'!$H42</f>
        <v>183411</v>
      </c>
      <c r="K42" s="96"/>
    </row>
    <row r="43" spans="2:11" ht="15">
      <c r="B43" s="39">
        <v>43352</v>
      </c>
      <c r="C43" s="31">
        <f>C42-D42</f>
        <v>0</v>
      </c>
      <c r="D43" s="3"/>
      <c r="E43" s="68">
        <v>125</v>
      </c>
      <c r="F43" s="3"/>
      <c r="G43" s="3"/>
      <c r="H43" s="3"/>
      <c r="I43" s="3">
        <f>I42+'CARGO 18'!$H43</f>
        <v>837670</v>
      </c>
      <c r="J43" s="42">
        <f>J42+'CARGO 18'!$G43-'CARGO 18'!$F43-'CARGO 18'!$H43</f>
        <v>183411</v>
      </c>
      <c r="K43" s="96"/>
    </row>
    <row r="44" spans="2:11" ht="15">
      <c r="B44" s="39"/>
      <c r="C44" s="59"/>
      <c r="D44" s="3"/>
      <c r="E44" s="70"/>
      <c r="F44" s="3"/>
      <c r="G44" s="3"/>
      <c r="H44" s="3"/>
      <c r="I44" s="3"/>
      <c r="J44" s="42"/>
      <c r="K44" s="96"/>
    </row>
    <row r="45" spans="2:11" ht="15">
      <c r="B45" s="15"/>
      <c r="C45" s="15"/>
      <c r="D45" s="15">
        <f>SUM(D28:D44)</f>
        <v>10000</v>
      </c>
      <c r="E45" s="15"/>
      <c r="F45" s="15">
        <f>SUM(F28:F44)</f>
        <v>92479</v>
      </c>
      <c r="G45" s="15">
        <f>SUM(G28:G44)</f>
        <v>1113560</v>
      </c>
      <c r="H45" s="15">
        <f>SUM(H28:H44)</f>
        <v>837670</v>
      </c>
      <c r="I45" s="15"/>
      <c r="J45" s="15"/>
      <c r="K45" s="15">
        <f>SUM(K28:K44)</f>
        <v>1981.95</v>
      </c>
    </row>
    <row r="46" spans="2:11" ht="15">
      <c r="B46" s="39"/>
      <c r="C46" s="31"/>
      <c r="D46" s="48"/>
      <c r="E46" s="68">
        <f>E28</f>
        <v>110</v>
      </c>
      <c r="F46" s="48"/>
      <c r="G46" s="3"/>
      <c r="H46" s="48"/>
      <c r="I46" s="3"/>
      <c r="J46" s="42"/>
      <c r="K46" s="96"/>
    </row>
    <row r="47" spans="2:11" ht="15">
      <c r="B47" s="60" t="s">
        <v>26</v>
      </c>
      <c r="C47" s="8"/>
      <c r="D47" s="8">
        <f>D21*20</f>
        <v>1340</v>
      </c>
      <c r="E47" s="68"/>
      <c r="F47" s="8">
        <f>F21</f>
        <v>4749.37</v>
      </c>
      <c r="G47" s="8">
        <f>G21</f>
        <v>147400</v>
      </c>
      <c r="H47" s="8">
        <f>H21</f>
        <v>142223</v>
      </c>
      <c r="I47" s="8"/>
      <c r="J47" s="61"/>
      <c r="K47" s="100"/>
    </row>
    <row r="48" spans="2:11" ht="15">
      <c r="B48" s="63"/>
      <c r="C48" s="64"/>
      <c r="D48" s="64"/>
      <c r="E48" s="64"/>
      <c r="F48" s="64">
        <f>F45+F47</f>
        <v>97228.37</v>
      </c>
      <c r="G48" s="64"/>
      <c r="H48" s="64">
        <f>H45+H47</f>
        <v>979893</v>
      </c>
      <c r="I48" s="64">
        <f>H48+F48</f>
        <v>1077121.37</v>
      </c>
      <c r="J48" s="65"/>
      <c r="K48" s="65"/>
    </row>
    <row r="49" spans="3:11" ht="15">
      <c r="C49" s="62" t="s">
        <v>52</v>
      </c>
      <c r="D49" s="53">
        <f>C18*20</f>
        <v>0</v>
      </c>
      <c r="E49" s="12"/>
      <c r="F49" s="12"/>
      <c r="G49" s="12"/>
      <c r="H49" s="12"/>
      <c r="I49" s="20">
        <f>G45-I48</f>
        <v>36438.62999999989</v>
      </c>
      <c r="J49" s="17"/>
      <c r="K49" s="17"/>
    </row>
    <row r="50" spans="3:11" ht="15">
      <c r="C50" s="12" t="s">
        <v>51</v>
      </c>
      <c r="D50" s="53">
        <f>D45-D47-D49</f>
        <v>8660</v>
      </c>
      <c r="E50" s="12"/>
      <c r="F50" s="12" t="s">
        <v>50</v>
      </c>
      <c r="G50" s="53">
        <f>D50*E46</f>
        <v>952600</v>
      </c>
      <c r="H50" s="12"/>
      <c r="I50" s="20"/>
      <c r="J50" s="17"/>
      <c r="K50" s="17"/>
    </row>
    <row r="51" spans="4:11" ht="15">
      <c r="D51" s="12"/>
      <c r="E51" s="12"/>
      <c r="F51" s="12" t="s">
        <v>53</v>
      </c>
      <c r="G51" s="53">
        <f>G50-F45-H45</f>
        <v>22451</v>
      </c>
      <c r="H51" s="53">
        <f>G47-F47-H47</f>
        <v>427.63000000000466</v>
      </c>
      <c r="I51" s="20"/>
      <c r="J51" s="55">
        <f>H48-H29</f>
        <v>866613</v>
      </c>
      <c r="K51" s="55"/>
    </row>
    <row r="52" spans="2:10" s="12" customFormat="1" ht="15">
      <c r="B52" s="12" t="s">
        <v>60</v>
      </c>
      <c r="C52" s="12">
        <v>369184</v>
      </c>
      <c r="J52" s="53"/>
    </row>
    <row r="53" spans="5:8" ht="15">
      <c r="E53" s="12"/>
      <c r="G53">
        <v>42861</v>
      </c>
      <c r="H53">
        <v>2596</v>
      </c>
    </row>
    <row r="54" ht="15">
      <c r="E54" s="12"/>
    </row>
    <row r="55" spans="5:8" ht="15">
      <c r="E55" s="12"/>
      <c r="F55" s="20"/>
      <c r="H55">
        <f>8800-4591</f>
        <v>4209</v>
      </c>
    </row>
    <row r="56" ht="15">
      <c r="H56" s="20">
        <f>H51+H55</f>
        <v>4636.630000000005</v>
      </c>
    </row>
    <row r="237" ht="15">
      <c r="N237">
        <v>48</v>
      </c>
    </row>
  </sheetData>
  <sheetProtection/>
  <mergeCells count="2">
    <mergeCell ref="C2:I2"/>
    <mergeCell ref="C25:I25"/>
  </mergeCells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E97"/>
  <sheetViews>
    <sheetView zoomScale="85" zoomScaleNormal="85" zoomScalePageLayoutView="0" workbookViewId="0" topLeftCell="A82">
      <selection activeCell="B89" sqref="B89"/>
    </sheetView>
  </sheetViews>
  <sheetFormatPr defaultColWidth="9.140625" defaultRowHeight="15"/>
  <cols>
    <col min="2" max="2" width="49.421875" style="0" bestFit="1" customWidth="1"/>
    <col min="3" max="3" width="18.421875" style="0" customWidth="1"/>
    <col min="4" max="4" width="14.00390625" style="0" customWidth="1"/>
  </cols>
  <sheetData>
    <row r="1" spans="2:5" ht="23.25">
      <c r="B1" s="153" t="s">
        <v>74</v>
      </c>
      <c r="C1" s="153"/>
      <c r="D1" s="153"/>
      <c r="E1" s="153"/>
    </row>
    <row r="2" spans="1:5" ht="19.5" customHeight="1">
      <c r="A2" s="80" t="s">
        <v>0</v>
      </c>
      <c r="B2" s="80" t="s">
        <v>7</v>
      </c>
      <c r="C2" s="81" t="s">
        <v>75</v>
      </c>
      <c r="D2" s="81"/>
      <c r="E2" s="82"/>
    </row>
    <row r="3" spans="1:5" ht="19.5" customHeight="1">
      <c r="A3" s="80"/>
      <c r="B3" s="80" t="s">
        <v>76</v>
      </c>
      <c r="C3" s="81">
        <v>29440</v>
      </c>
      <c r="D3" s="81"/>
      <c r="E3" s="82"/>
    </row>
    <row r="4" spans="1:5" ht="15">
      <c r="A4" s="83"/>
      <c r="B4" s="83" t="s">
        <v>77</v>
      </c>
      <c r="C4" s="81">
        <v>40000</v>
      </c>
      <c r="D4" s="81"/>
      <c r="E4" s="84"/>
    </row>
    <row r="5" spans="1:5" ht="18.75" customHeight="1">
      <c r="A5" s="83"/>
      <c r="B5" s="83" t="s">
        <v>78</v>
      </c>
      <c r="C5" s="81">
        <v>21500</v>
      </c>
      <c r="D5" s="81"/>
      <c r="E5" s="84"/>
    </row>
    <row r="6" spans="1:5" ht="15.75" customHeight="1">
      <c r="A6" s="85"/>
      <c r="B6" s="83" t="s">
        <v>79</v>
      </c>
      <c r="C6" s="81">
        <v>20000</v>
      </c>
      <c r="D6" s="81"/>
      <c r="E6" s="84"/>
    </row>
    <row r="7" spans="1:5" ht="15">
      <c r="A7" s="85"/>
      <c r="B7" s="83" t="s">
        <v>80</v>
      </c>
      <c r="C7" s="86">
        <v>21000</v>
      </c>
      <c r="D7" s="81"/>
      <c r="E7" s="84"/>
    </row>
    <row r="8" spans="1:5" ht="15">
      <c r="A8" s="80"/>
      <c r="B8" s="80" t="s">
        <v>81</v>
      </c>
      <c r="C8" s="81">
        <v>40000</v>
      </c>
      <c r="D8" s="81"/>
      <c r="E8" s="82"/>
    </row>
    <row r="9" spans="1:5" ht="19.5" customHeight="1">
      <c r="A9" s="80"/>
      <c r="B9" s="80" t="s">
        <v>82</v>
      </c>
      <c r="C9" s="81">
        <v>40000</v>
      </c>
      <c r="D9" s="81"/>
      <c r="E9" s="82"/>
    </row>
    <row r="10" spans="1:5" ht="19.5" customHeight="1">
      <c r="A10" s="80"/>
      <c r="B10" s="80" t="s">
        <v>83</v>
      </c>
      <c r="C10" s="81">
        <v>20000</v>
      </c>
      <c r="D10" s="81"/>
      <c r="E10" s="82"/>
    </row>
    <row r="11" spans="1:5" ht="19.5" customHeight="1">
      <c r="A11" s="80"/>
      <c r="B11" s="80" t="s">
        <v>84</v>
      </c>
      <c r="C11" s="81">
        <v>90000</v>
      </c>
      <c r="D11" s="81"/>
      <c r="E11" s="82"/>
    </row>
    <row r="12" spans="1:5" ht="19.5" customHeight="1">
      <c r="A12" s="80"/>
      <c r="B12" s="80" t="s">
        <v>81</v>
      </c>
      <c r="C12" s="81">
        <v>10000</v>
      </c>
      <c r="D12" s="81"/>
      <c r="E12" s="82"/>
    </row>
    <row r="13" spans="1:5" ht="19.5" customHeight="1">
      <c r="A13" s="80"/>
      <c r="B13" s="80" t="s">
        <v>85</v>
      </c>
      <c r="C13" s="81">
        <v>15000</v>
      </c>
      <c r="D13" s="81"/>
      <c r="E13" s="82"/>
    </row>
    <row r="14" spans="1:5" ht="19.5" customHeight="1">
      <c r="A14" s="80"/>
      <c r="B14" s="80" t="s">
        <v>86</v>
      </c>
      <c r="C14" s="81">
        <v>15000</v>
      </c>
      <c r="D14" s="81"/>
      <c r="E14" s="82"/>
    </row>
    <row r="15" spans="1:5" ht="19.5" customHeight="1">
      <c r="A15" s="80"/>
      <c r="B15" s="80" t="s">
        <v>87</v>
      </c>
      <c r="C15" s="81">
        <v>8000</v>
      </c>
      <c r="D15" s="81"/>
      <c r="E15" s="82"/>
    </row>
    <row r="16" spans="1:5" ht="19.5" customHeight="1">
      <c r="A16" s="80"/>
      <c r="B16" s="80" t="s">
        <v>88</v>
      </c>
      <c r="C16" s="81">
        <v>1000</v>
      </c>
      <c r="D16" s="81"/>
      <c r="E16" s="82"/>
    </row>
    <row r="17" spans="1:5" ht="19.5" customHeight="1">
      <c r="A17" s="80"/>
      <c r="B17" s="80" t="s">
        <v>89</v>
      </c>
      <c r="C17" s="81">
        <v>600</v>
      </c>
      <c r="D17" s="81"/>
      <c r="E17" s="82"/>
    </row>
    <row r="18" spans="1:5" ht="19.5" customHeight="1">
      <c r="A18" s="80"/>
      <c r="B18" s="80" t="s">
        <v>90</v>
      </c>
      <c r="C18" s="81">
        <v>800</v>
      </c>
      <c r="D18" s="81"/>
      <c r="E18" s="82"/>
    </row>
    <row r="19" spans="1:5" ht="19.5" customHeight="1">
      <c r="A19" s="80"/>
      <c r="B19" s="80" t="s">
        <v>91</v>
      </c>
      <c r="C19" s="81">
        <v>2500</v>
      </c>
      <c r="D19" s="81"/>
      <c r="E19" s="82"/>
    </row>
    <row r="20" spans="1:5" ht="19.5" customHeight="1">
      <c r="A20" s="80"/>
      <c r="B20" s="80" t="s">
        <v>92</v>
      </c>
      <c r="C20" s="81">
        <v>35000</v>
      </c>
      <c r="D20" s="81"/>
      <c r="E20" s="82"/>
    </row>
    <row r="21" spans="1:5" ht="19.5" customHeight="1">
      <c r="A21" s="80"/>
      <c r="B21" s="80" t="s">
        <v>93</v>
      </c>
      <c r="C21" s="81">
        <v>2000</v>
      </c>
      <c r="D21" s="81"/>
      <c r="E21" s="82"/>
    </row>
    <row r="22" spans="1:5" ht="19.5" customHeight="1">
      <c r="A22" s="80"/>
      <c r="B22" s="80" t="s">
        <v>94</v>
      </c>
      <c r="C22" s="81">
        <v>2000</v>
      </c>
      <c r="D22" s="81"/>
      <c r="E22" s="82"/>
    </row>
    <row r="23" spans="1:5" ht="19.5" customHeight="1">
      <c r="A23" s="80"/>
      <c r="B23" s="80"/>
      <c r="C23" s="81"/>
      <c r="D23" s="81"/>
      <c r="E23" s="82"/>
    </row>
    <row r="24" spans="1:5" ht="19.5" customHeight="1">
      <c r="A24" s="80"/>
      <c r="B24" s="80" t="s">
        <v>95</v>
      </c>
      <c r="C24" s="81"/>
      <c r="D24" s="81">
        <v>80000</v>
      </c>
      <c r="E24" s="82"/>
    </row>
    <row r="25" spans="1:5" ht="19.5" customHeight="1">
      <c r="A25" s="80"/>
      <c r="B25" s="80" t="s">
        <v>96</v>
      </c>
      <c r="C25" s="81">
        <v>157000</v>
      </c>
      <c r="D25" s="81"/>
      <c r="E25" s="82"/>
    </row>
    <row r="26" spans="1:5" ht="19.5" customHeight="1">
      <c r="A26" s="80"/>
      <c r="B26" s="80" t="s">
        <v>97</v>
      </c>
      <c r="C26" s="81">
        <v>21000</v>
      </c>
      <c r="D26" s="81"/>
      <c r="E26" s="82"/>
    </row>
    <row r="27" spans="1:5" ht="19.5" customHeight="1">
      <c r="A27" s="80"/>
      <c r="B27" s="80" t="s">
        <v>98</v>
      </c>
      <c r="C27" s="81">
        <v>10000</v>
      </c>
      <c r="D27" s="81"/>
      <c r="E27" s="82"/>
    </row>
    <row r="28" spans="1:5" ht="19.5" customHeight="1">
      <c r="A28" s="80"/>
      <c r="B28" s="80" t="s">
        <v>99</v>
      </c>
      <c r="C28" s="81">
        <v>10085</v>
      </c>
      <c r="D28" s="81"/>
      <c r="E28" s="82"/>
    </row>
    <row r="29" spans="1:5" ht="19.5" customHeight="1">
      <c r="A29" s="80"/>
      <c r="B29" s="80" t="s">
        <v>100</v>
      </c>
      <c r="C29" s="81">
        <v>10085</v>
      </c>
      <c r="D29" s="81"/>
      <c r="E29" s="82"/>
    </row>
    <row r="30" spans="1:5" ht="19.5" customHeight="1">
      <c r="A30" s="80"/>
      <c r="B30" s="80" t="s">
        <v>101</v>
      </c>
      <c r="C30" s="81">
        <v>15200</v>
      </c>
      <c r="D30" s="81"/>
      <c r="E30" s="82"/>
    </row>
    <row r="31" spans="1:5" ht="19.5" customHeight="1">
      <c r="A31" s="80"/>
      <c r="B31" s="80"/>
      <c r="C31" s="81">
        <f>31000+21700</f>
        <v>52700</v>
      </c>
      <c r="D31" s="81"/>
      <c r="E31" s="82"/>
    </row>
    <row r="32" spans="1:5" ht="19.5" customHeight="1">
      <c r="A32" s="80"/>
      <c r="B32" s="80" t="s">
        <v>99</v>
      </c>
      <c r="C32" s="81">
        <v>15100</v>
      </c>
      <c r="D32" s="81"/>
      <c r="E32" s="82"/>
    </row>
    <row r="33" spans="1:5" ht="19.5" customHeight="1">
      <c r="A33" s="80"/>
      <c r="B33" s="80" t="s">
        <v>95</v>
      </c>
      <c r="C33" s="81"/>
      <c r="D33" s="81">
        <v>20000</v>
      </c>
      <c r="E33" s="82"/>
    </row>
    <row r="34" spans="1:5" ht="19.5" customHeight="1">
      <c r="A34" s="80"/>
      <c r="B34" s="80" t="s">
        <v>102</v>
      </c>
      <c r="C34" s="81">
        <v>8100</v>
      </c>
      <c r="D34" s="81"/>
      <c r="E34" s="82"/>
    </row>
    <row r="35" spans="1:5" ht="19.5" customHeight="1">
      <c r="A35" s="80"/>
      <c r="B35" s="80" t="s">
        <v>103</v>
      </c>
      <c r="C35" s="81">
        <v>29440</v>
      </c>
      <c r="D35" s="81"/>
      <c r="E35" s="82"/>
    </row>
    <row r="36" spans="1:5" ht="19.5" customHeight="1">
      <c r="A36" s="80"/>
      <c r="B36" s="80" t="s">
        <v>102</v>
      </c>
      <c r="C36" s="81">
        <v>6075</v>
      </c>
      <c r="D36" s="81"/>
      <c r="E36" s="82"/>
    </row>
    <row r="37" spans="1:5" ht="19.5" customHeight="1">
      <c r="A37" s="80"/>
      <c r="B37" s="80" t="s">
        <v>102</v>
      </c>
      <c r="C37" s="81">
        <f>4060+2100</f>
        <v>6160</v>
      </c>
      <c r="D37" s="81"/>
      <c r="E37" s="82"/>
    </row>
    <row r="38" spans="1:5" ht="19.5" customHeight="1">
      <c r="A38" s="80"/>
      <c r="B38" s="80" t="s">
        <v>104</v>
      </c>
      <c r="C38" s="81">
        <v>20000</v>
      </c>
      <c r="D38" s="81"/>
      <c r="E38" s="82"/>
    </row>
    <row r="39" spans="1:5" ht="19.5" customHeight="1">
      <c r="A39" s="80"/>
      <c r="B39" s="80" t="s">
        <v>105</v>
      </c>
      <c r="C39" s="81">
        <v>30000</v>
      </c>
      <c r="D39" s="81"/>
      <c r="E39" s="82"/>
    </row>
    <row r="40" spans="1:5" ht="19.5" customHeight="1">
      <c r="A40" s="80"/>
      <c r="B40" s="80" t="s">
        <v>106</v>
      </c>
      <c r="C40" s="81">
        <v>20000</v>
      </c>
      <c r="D40" s="81"/>
      <c r="E40" s="82"/>
    </row>
    <row r="41" spans="1:5" ht="19.5" customHeight="1">
      <c r="A41" s="80"/>
      <c r="B41" s="80" t="s">
        <v>107</v>
      </c>
      <c r="C41" s="81">
        <v>25000</v>
      </c>
      <c r="D41" s="81"/>
      <c r="E41" s="82"/>
    </row>
    <row r="42" spans="1:5" ht="19.5" customHeight="1">
      <c r="A42" s="80"/>
      <c r="B42" s="80" t="s">
        <v>108</v>
      </c>
      <c r="C42" s="81">
        <v>2000</v>
      </c>
      <c r="D42" s="81"/>
      <c r="E42" s="82"/>
    </row>
    <row r="43" spans="1:5" ht="19.5" customHeight="1">
      <c r="A43" s="80"/>
      <c r="B43" s="80" t="s">
        <v>108</v>
      </c>
      <c r="C43" s="81">
        <v>10100</v>
      </c>
      <c r="D43" s="81"/>
      <c r="E43" s="82"/>
    </row>
    <row r="44" spans="1:5" ht="19.5" customHeight="1">
      <c r="A44" s="80"/>
      <c r="B44" s="80" t="s">
        <v>109</v>
      </c>
      <c r="C44" s="81">
        <v>5060</v>
      </c>
      <c r="D44" s="81"/>
      <c r="E44" s="82"/>
    </row>
    <row r="45" spans="1:5" ht="19.5" customHeight="1">
      <c r="A45" s="80"/>
      <c r="B45" s="80" t="s">
        <v>110</v>
      </c>
      <c r="C45" s="81">
        <v>1050</v>
      </c>
      <c r="D45" s="81"/>
      <c r="E45" s="82"/>
    </row>
    <row r="46" spans="1:5" ht="19.5" customHeight="1">
      <c r="A46" s="80"/>
      <c r="B46" s="80" t="s">
        <v>102</v>
      </c>
      <c r="C46" s="81">
        <v>15000</v>
      </c>
      <c r="D46" s="81"/>
      <c r="E46" s="82"/>
    </row>
    <row r="47" spans="1:5" ht="19.5" customHeight="1">
      <c r="A47" s="80"/>
      <c r="B47" s="80" t="s">
        <v>102</v>
      </c>
      <c r="C47" s="81">
        <v>15178</v>
      </c>
      <c r="D47" s="81"/>
      <c r="E47" s="82"/>
    </row>
    <row r="48" spans="1:5" ht="19.5" customHeight="1">
      <c r="A48" s="80"/>
      <c r="B48" s="80" t="s">
        <v>111</v>
      </c>
      <c r="C48" s="81">
        <v>21500</v>
      </c>
      <c r="D48" s="81"/>
      <c r="E48" s="82"/>
    </row>
    <row r="49" spans="1:5" ht="19.5" customHeight="1">
      <c r="A49" s="80"/>
      <c r="B49" s="80" t="s">
        <v>112</v>
      </c>
      <c r="C49" s="81">
        <v>50273</v>
      </c>
      <c r="D49" s="81"/>
      <c r="E49" s="82"/>
    </row>
    <row r="50" spans="1:5" ht="19.5" customHeight="1">
      <c r="A50" s="80"/>
      <c r="B50" s="80" t="s">
        <v>113</v>
      </c>
      <c r="C50" s="81">
        <v>5000</v>
      </c>
      <c r="D50" s="81"/>
      <c r="E50" s="82"/>
    </row>
    <row r="51" spans="1:5" ht="19.5" customHeight="1">
      <c r="A51" s="89">
        <v>43288</v>
      </c>
      <c r="B51" s="80" t="s">
        <v>105</v>
      </c>
      <c r="C51" s="81">
        <v>4061</v>
      </c>
      <c r="D51" s="81"/>
      <c r="E51" s="82"/>
    </row>
    <row r="52" spans="1:5" ht="19.5" customHeight="1">
      <c r="A52" s="89">
        <v>43288</v>
      </c>
      <c r="B52" s="80" t="s">
        <v>114</v>
      </c>
      <c r="C52" s="81">
        <v>3060</v>
      </c>
      <c r="D52" s="81"/>
      <c r="E52" s="82"/>
    </row>
    <row r="53" spans="1:5" ht="19.5" customHeight="1">
      <c r="A53" s="89">
        <v>43291</v>
      </c>
      <c r="B53" s="83" t="s">
        <v>126</v>
      </c>
      <c r="C53" s="81">
        <v>21000</v>
      </c>
      <c r="D53" s="81"/>
      <c r="E53" s="82"/>
    </row>
    <row r="54" spans="1:5" ht="19.5" customHeight="1">
      <c r="A54" s="80"/>
      <c r="B54" s="83" t="s">
        <v>115</v>
      </c>
      <c r="C54" s="81">
        <v>3000</v>
      </c>
      <c r="D54" s="81"/>
      <c r="E54" s="82"/>
    </row>
    <row r="55" spans="1:5" ht="19.5" customHeight="1">
      <c r="A55" s="80"/>
      <c r="B55" s="83" t="s">
        <v>102</v>
      </c>
      <c r="C55" s="81">
        <v>10500</v>
      </c>
      <c r="D55" s="81"/>
      <c r="E55" s="82"/>
    </row>
    <row r="56" spans="1:5" ht="19.5" customHeight="1">
      <c r="A56" s="80"/>
      <c r="B56" s="83" t="s">
        <v>99</v>
      </c>
      <c r="C56" s="81">
        <v>5000</v>
      </c>
      <c r="D56" s="81"/>
      <c r="E56" s="82"/>
    </row>
    <row r="57" spans="1:5" ht="19.5" customHeight="1">
      <c r="A57" s="80"/>
      <c r="B57" s="83" t="s">
        <v>102</v>
      </c>
      <c r="C57" s="81">
        <v>700</v>
      </c>
      <c r="D57" s="81"/>
      <c r="E57" s="82"/>
    </row>
    <row r="58" spans="1:5" ht="19.5" customHeight="1">
      <c r="A58" s="80"/>
      <c r="B58" s="83" t="s">
        <v>102</v>
      </c>
      <c r="C58" s="81">
        <v>51284</v>
      </c>
      <c r="D58" s="81"/>
      <c r="E58" s="82"/>
    </row>
    <row r="59" spans="1:5" ht="19.5" customHeight="1">
      <c r="A59" s="80"/>
      <c r="B59" s="83" t="s">
        <v>108</v>
      </c>
      <c r="C59" s="81">
        <v>10097</v>
      </c>
      <c r="D59" s="81"/>
      <c r="E59" s="82"/>
    </row>
    <row r="60" spans="1:5" ht="19.5" customHeight="1">
      <c r="A60" s="80"/>
      <c r="B60" s="83" t="s">
        <v>102</v>
      </c>
      <c r="C60" s="81">
        <v>22005</v>
      </c>
      <c r="D60" s="81"/>
      <c r="E60" s="82"/>
    </row>
    <row r="61" spans="1:5" ht="19.5" customHeight="1">
      <c r="A61" s="89">
        <v>43304</v>
      </c>
      <c r="B61" s="83" t="s">
        <v>121</v>
      </c>
      <c r="C61" s="81">
        <v>8587</v>
      </c>
      <c r="D61" s="81"/>
      <c r="E61" s="82"/>
    </row>
    <row r="62" spans="1:5" ht="19.5" customHeight="1">
      <c r="A62" s="89">
        <v>43304</v>
      </c>
      <c r="B62" s="83" t="s">
        <v>119</v>
      </c>
      <c r="C62" s="81">
        <v>10597</v>
      </c>
      <c r="D62" s="81"/>
      <c r="E62" s="82"/>
    </row>
    <row r="63" spans="1:5" ht="19.5" customHeight="1">
      <c r="A63" s="89">
        <v>43304</v>
      </c>
      <c r="B63" s="83" t="s">
        <v>120</v>
      </c>
      <c r="C63" s="81">
        <v>6177</v>
      </c>
      <c r="D63" s="81"/>
      <c r="E63" s="82"/>
    </row>
    <row r="64" spans="1:5" ht="19.5" customHeight="1">
      <c r="A64" s="89">
        <v>43307</v>
      </c>
      <c r="B64" s="83" t="s">
        <v>118</v>
      </c>
      <c r="C64" s="81">
        <v>5061</v>
      </c>
      <c r="D64" s="81"/>
      <c r="E64" s="82"/>
    </row>
    <row r="65" spans="1:5" ht="19.5" customHeight="1">
      <c r="A65" s="89">
        <v>43307</v>
      </c>
      <c r="B65" s="83" t="s">
        <v>108</v>
      </c>
      <c r="C65" s="81">
        <v>10087</v>
      </c>
      <c r="D65" s="81"/>
      <c r="E65" s="82"/>
    </row>
    <row r="66" spans="1:5" ht="19.5" customHeight="1">
      <c r="A66" s="89">
        <v>43307</v>
      </c>
      <c r="B66" s="83" t="s">
        <v>116</v>
      </c>
      <c r="C66" s="81">
        <v>2041</v>
      </c>
      <c r="D66" s="81"/>
      <c r="E66" s="82"/>
    </row>
    <row r="67" spans="1:5" ht="19.5" customHeight="1">
      <c r="A67" s="89">
        <v>43307</v>
      </c>
      <c r="B67" s="83" t="s">
        <v>117</v>
      </c>
      <c r="C67" s="81">
        <v>1053</v>
      </c>
      <c r="D67" s="81"/>
      <c r="E67" s="82"/>
    </row>
    <row r="68" spans="1:5" ht="19.5" customHeight="1">
      <c r="A68" s="89">
        <v>43310</v>
      </c>
      <c r="B68" s="83" t="s">
        <v>102</v>
      </c>
      <c r="C68" s="81">
        <f>53360+1526</f>
        <v>54886</v>
      </c>
      <c r="D68" s="81"/>
      <c r="E68" s="82"/>
    </row>
    <row r="69" spans="1:5" ht="19.5" customHeight="1">
      <c r="A69" s="89">
        <v>43315</v>
      </c>
      <c r="B69" s="83" t="s">
        <v>108</v>
      </c>
      <c r="C69" s="81">
        <v>20102</v>
      </c>
      <c r="D69" s="81"/>
      <c r="E69" s="82"/>
    </row>
    <row r="70" spans="1:5" ht="19.5" customHeight="1">
      <c r="A70" s="89">
        <v>43316</v>
      </c>
      <c r="B70" s="83" t="s">
        <v>108</v>
      </c>
      <c r="C70" s="81">
        <v>1526</v>
      </c>
      <c r="D70" s="81"/>
      <c r="E70" s="82"/>
    </row>
    <row r="71" spans="1:5" ht="19.5" customHeight="1">
      <c r="A71" s="89">
        <v>43316</v>
      </c>
      <c r="B71" s="83" t="s">
        <v>129</v>
      </c>
      <c r="C71" s="81">
        <v>21500</v>
      </c>
      <c r="D71" s="81"/>
      <c r="E71" s="82"/>
    </row>
    <row r="72" spans="1:5" ht="19.5" customHeight="1">
      <c r="A72" s="89">
        <v>43319</v>
      </c>
      <c r="B72" s="83" t="s">
        <v>125</v>
      </c>
      <c r="C72" s="81">
        <v>21000</v>
      </c>
      <c r="D72" s="81"/>
      <c r="E72" s="82"/>
    </row>
    <row r="73" spans="1:5" ht="19.5" customHeight="1">
      <c r="A73" s="89">
        <v>43319</v>
      </c>
      <c r="B73" s="83" t="s">
        <v>122</v>
      </c>
      <c r="C73" s="81">
        <v>2040</v>
      </c>
      <c r="D73" s="81"/>
      <c r="E73" s="82"/>
    </row>
    <row r="74" spans="1:5" ht="19.5" customHeight="1">
      <c r="A74" s="89">
        <v>43319</v>
      </c>
      <c r="B74" s="83" t="s">
        <v>123</v>
      </c>
      <c r="C74" s="81">
        <v>1326</v>
      </c>
      <c r="D74" s="81"/>
      <c r="E74" s="82"/>
    </row>
    <row r="75" spans="1:5" ht="19.5" customHeight="1">
      <c r="A75" s="89">
        <v>43319</v>
      </c>
      <c r="B75" s="83" t="s">
        <v>108</v>
      </c>
      <c r="C75" s="81">
        <v>5061</v>
      </c>
      <c r="D75" s="81"/>
      <c r="E75" s="82"/>
    </row>
    <row r="76" spans="1:5" ht="19.5" customHeight="1">
      <c r="A76" s="89">
        <v>43320</v>
      </c>
      <c r="B76" s="83" t="s">
        <v>124</v>
      </c>
      <c r="C76" s="81">
        <f>2041+2041</f>
        <v>4082</v>
      </c>
      <c r="D76" s="81"/>
      <c r="E76" s="82"/>
    </row>
    <row r="77" spans="1:5" ht="19.5" customHeight="1">
      <c r="A77" s="89">
        <v>43320</v>
      </c>
      <c r="B77" s="83" t="s">
        <v>124</v>
      </c>
      <c r="C77" s="81">
        <v>2041</v>
      </c>
      <c r="D77" s="81"/>
      <c r="E77" s="82"/>
    </row>
    <row r="78" spans="1:5" ht="19.5" customHeight="1">
      <c r="A78" s="89">
        <v>43329</v>
      </c>
      <c r="B78" s="83" t="s">
        <v>108</v>
      </c>
      <c r="C78" s="105">
        <v>20102</v>
      </c>
      <c r="D78" s="81"/>
      <c r="E78" s="82"/>
    </row>
    <row r="79" spans="1:5" ht="19.5" customHeight="1">
      <c r="A79" s="89">
        <v>43333</v>
      </c>
      <c r="B79" s="83" t="s">
        <v>130</v>
      </c>
      <c r="C79" s="81">
        <v>5061</v>
      </c>
      <c r="D79" s="81"/>
      <c r="E79" s="82"/>
    </row>
    <row r="80" spans="1:5" ht="19.5" customHeight="1">
      <c r="A80" s="89">
        <v>43335</v>
      </c>
      <c r="B80" s="83" t="s">
        <v>130</v>
      </c>
      <c r="C80" s="81">
        <v>5577</v>
      </c>
      <c r="D80" s="81"/>
      <c r="E80" s="82"/>
    </row>
    <row r="81" spans="1:5" ht="19.5" customHeight="1">
      <c r="A81" s="89">
        <v>43336</v>
      </c>
      <c r="B81" s="83" t="s">
        <v>130</v>
      </c>
      <c r="C81" s="81">
        <v>5061</v>
      </c>
      <c r="D81" s="81"/>
      <c r="E81" s="82"/>
    </row>
    <row r="82" spans="1:5" ht="19.5" customHeight="1">
      <c r="A82" s="89">
        <v>43339</v>
      </c>
      <c r="B82" s="83" t="s">
        <v>131</v>
      </c>
      <c r="C82" s="81">
        <v>10087</v>
      </c>
      <c r="D82" s="81"/>
      <c r="E82" s="82"/>
    </row>
    <row r="83" spans="1:5" ht="19.5" customHeight="1">
      <c r="A83" s="89">
        <v>43342</v>
      </c>
      <c r="B83" s="83" t="s">
        <v>131</v>
      </c>
      <c r="C83" s="81">
        <v>15097</v>
      </c>
      <c r="D83" s="81"/>
      <c r="E83" s="82"/>
    </row>
    <row r="84" spans="1:5" ht="19.5" customHeight="1">
      <c r="A84" s="89">
        <v>43370</v>
      </c>
      <c r="B84" s="83" t="s">
        <v>131</v>
      </c>
      <c r="C84" s="81">
        <v>15097</v>
      </c>
      <c r="D84" s="81"/>
      <c r="E84" s="82"/>
    </row>
    <row r="85" spans="1:5" ht="19.5" customHeight="1">
      <c r="A85" s="89">
        <v>43380</v>
      </c>
      <c r="B85" s="83" t="s">
        <v>135</v>
      </c>
      <c r="C85" s="81">
        <v>20000</v>
      </c>
      <c r="D85" s="81"/>
      <c r="E85" s="82"/>
    </row>
    <row r="86" spans="1:5" ht="19.5" customHeight="1">
      <c r="A86" s="89">
        <v>43380</v>
      </c>
      <c r="B86" s="83" t="s">
        <v>136</v>
      </c>
      <c r="C86" s="81">
        <v>21000</v>
      </c>
      <c r="D86" s="81"/>
      <c r="E86" s="82"/>
    </row>
    <row r="87" spans="1:5" ht="19.5" customHeight="1">
      <c r="A87" s="89"/>
      <c r="B87" s="83"/>
      <c r="C87" s="81">
        <v>159000</v>
      </c>
      <c r="D87" s="81"/>
      <c r="E87" s="82"/>
    </row>
    <row r="88" spans="1:5" ht="19.5" customHeight="1">
      <c r="A88" s="89"/>
      <c r="B88" s="83"/>
      <c r="C88" s="81"/>
      <c r="D88" s="81"/>
      <c r="E88" s="82"/>
    </row>
    <row r="89" spans="1:5" ht="19.5" customHeight="1">
      <c r="A89" s="89"/>
      <c r="B89" s="83"/>
      <c r="C89" s="81"/>
      <c r="D89" s="81"/>
      <c r="E89" s="82"/>
    </row>
    <row r="90" spans="1:5" ht="19.5" customHeight="1">
      <c r="A90" s="89"/>
      <c r="B90" s="83"/>
      <c r="C90" s="81"/>
      <c r="D90" s="81"/>
      <c r="E90" s="82"/>
    </row>
    <row r="91" spans="1:5" ht="19.5" customHeight="1">
      <c r="A91" s="89"/>
      <c r="B91" s="83"/>
      <c r="C91" s="81"/>
      <c r="D91" s="81"/>
      <c r="E91" s="82"/>
    </row>
    <row r="92" spans="1:5" ht="19.5" customHeight="1">
      <c r="A92" s="89"/>
      <c r="B92" s="83"/>
      <c r="C92" s="81"/>
      <c r="D92" s="81"/>
      <c r="E92" s="82"/>
    </row>
    <row r="93" spans="1:5" ht="19.5" customHeight="1">
      <c r="A93" s="89"/>
      <c r="B93" s="83"/>
      <c r="C93" s="81"/>
      <c r="D93" s="81"/>
      <c r="E93" s="82"/>
    </row>
    <row r="94" spans="1:5" ht="19.5" customHeight="1">
      <c r="A94" s="80"/>
      <c r="B94" s="83"/>
      <c r="C94" s="81"/>
      <c r="D94" s="81"/>
      <c r="E94" s="82"/>
    </row>
    <row r="95" spans="1:5" ht="19.5" customHeight="1">
      <c r="A95" s="80"/>
      <c r="B95" s="80"/>
      <c r="C95" s="81"/>
      <c r="D95" s="81"/>
      <c r="E95" s="82"/>
    </row>
    <row r="96" spans="1:5" ht="15">
      <c r="A96" s="87" t="s">
        <v>30</v>
      </c>
      <c r="B96" s="78"/>
      <c r="C96" s="79">
        <f>SUM(C3:C95)</f>
        <v>1558902</v>
      </c>
      <c r="D96" s="79">
        <f>SUM(D24:D95)</f>
        <v>100000</v>
      </c>
      <c r="E96" s="88"/>
    </row>
    <row r="97" spans="3:4" ht="15">
      <c r="C97" s="20"/>
      <c r="D97" s="53">
        <f>C96-D96</f>
        <v>1458902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N244"/>
  <sheetViews>
    <sheetView zoomScalePageLayoutView="0" workbookViewId="0" topLeftCell="A46">
      <selection activeCell="A46" sqref="A1:A65536"/>
    </sheetView>
  </sheetViews>
  <sheetFormatPr defaultColWidth="9.140625" defaultRowHeight="15"/>
  <cols>
    <col min="1" max="1" width="11.00390625" style="0" customWidth="1"/>
    <col min="2" max="2" width="7.00390625" style="0" customWidth="1"/>
    <col min="3" max="3" width="9.00390625" style="0" customWidth="1"/>
    <col min="4" max="4" width="12.00390625" style="0" customWidth="1"/>
    <col min="5" max="5" width="18.421875" style="0" customWidth="1"/>
    <col min="6" max="6" width="16.8515625" style="0" customWidth="1"/>
    <col min="7" max="7" width="13.421875" style="0" customWidth="1"/>
    <col min="8" max="8" width="16.7109375" style="0" customWidth="1"/>
    <col min="9" max="9" width="13.140625" style="0" customWidth="1"/>
    <col min="10" max="10" width="16.140625" style="0" customWidth="1"/>
    <col min="11" max="11" width="15.00390625" style="0" customWidth="1"/>
    <col min="12" max="12" width="13.28125" style="0" customWidth="1"/>
    <col min="13" max="13" width="12.28125" style="0" customWidth="1"/>
    <col min="14" max="14" width="19.140625" style="0" customWidth="1"/>
  </cols>
  <sheetData>
    <row r="2" spans="2:8" ht="18.75">
      <c r="B2" s="142" t="s">
        <v>26</v>
      </c>
      <c r="C2" s="142"/>
      <c r="D2" s="142"/>
      <c r="E2" s="142"/>
      <c r="F2" s="142"/>
      <c r="G2" s="142"/>
      <c r="H2" s="142"/>
    </row>
    <row r="3" spans="1:10" ht="15">
      <c r="A3" s="44" t="s">
        <v>0</v>
      </c>
      <c r="B3" s="45" t="s">
        <v>69</v>
      </c>
      <c r="C3" s="45" t="s">
        <v>70</v>
      </c>
      <c r="D3" s="45" t="s">
        <v>71</v>
      </c>
      <c r="E3" s="45" t="s">
        <v>6</v>
      </c>
      <c r="F3" s="45" t="s">
        <v>72</v>
      </c>
      <c r="G3" s="45" t="s">
        <v>3</v>
      </c>
      <c r="H3" s="45" t="s">
        <v>9</v>
      </c>
      <c r="I3" s="46" t="s">
        <v>8</v>
      </c>
      <c r="J3" s="98" t="s">
        <v>127</v>
      </c>
    </row>
    <row r="4" spans="1:10" ht="15">
      <c r="A4" s="56"/>
      <c r="B4" s="28"/>
      <c r="C4" s="28"/>
      <c r="D4" s="28">
        <v>109</v>
      </c>
      <c r="E4" s="50"/>
      <c r="F4" s="50">
        <f>'CARGO 2.'!$D4*'CARGO 2.'!$B4</f>
        <v>0</v>
      </c>
      <c r="G4" s="50"/>
      <c r="H4" s="50">
        <f>'CARGO 2.'!$F4-'CARGO 2.'!$E4</f>
        <v>0</v>
      </c>
      <c r="I4" s="51">
        <f>'CARGO 2.'!$H4-'CARGO 2.'!$G4</f>
        <v>0</v>
      </c>
      <c r="J4" s="97"/>
    </row>
    <row r="5" spans="1:13" ht="15">
      <c r="A5" s="39">
        <v>43357</v>
      </c>
      <c r="B5" s="3">
        <v>0</v>
      </c>
      <c r="C5" s="3">
        <v>0</v>
      </c>
      <c r="D5" s="68">
        <f>20*111</f>
        <v>2220</v>
      </c>
      <c r="E5" s="31"/>
      <c r="F5" s="3">
        <f>'CARGO 2.'!$C5*'CARGO 2.'!$D5</f>
        <v>0</v>
      </c>
      <c r="G5" s="31"/>
      <c r="H5" s="3">
        <f>'CARGO 2.'!$G5</f>
        <v>0</v>
      </c>
      <c r="I5" s="42">
        <f>'CARGO 2.'!$F5-'CARGO 2.'!$E5-'CARGO 2.'!$G5</f>
        <v>0</v>
      </c>
      <c r="J5" s="95"/>
      <c r="K5" s="50">
        <f>F5-G6</f>
        <v>0</v>
      </c>
      <c r="M5" s="93"/>
    </row>
    <row r="6" spans="1:10" ht="15">
      <c r="A6" s="39">
        <v>43358</v>
      </c>
      <c r="B6" s="3">
        <v>0</v>
      </c>
      <c r="C6" s="25">
        <v>0</v>
      </c>
      <c r="D6" s="68">
        <f aca="true" t="shared" si="0" ref="D6:D21">20*111</f>
        <v>2220</v>
      </c>
      <c r="E6" s="30"/>
      <c r="F6" s="3">
        <f>'CARGO 2.'!$C6*'CARGO 2.'!$D6</f>
        <v>0</v>
      </c>
      <c r="G6" s="31"/>
      <c r="H6" s="3">
        <f>H5+'CARGO 2.'!$G6</f>
        <v>0</v>
      </c>
      <c r="I6" s="42">
        <f>I5+'CARGO 2.'!$F6-'CARGO 2.'!$E6-'CARGO 2.'!$G6</f>
        <v>0</v>
      </c>
      <c r="J6" s="95"/>
    </row>
    <row r="7" spans="1:10" ht="15">
      <c r="A7" s="39">
        <v>43359</v>
      </c>
      <c r="B7" s="3">
        <v>0</v>
      </c>
      <c r="C7" s="3">
        <v>0</v>
      </c>
      <c r="D7" s="68">
        <f t="shared" si="0"/>
        <v>2220</v>
      </c>
      <c r="E7" s="3"/>
      <c r="F7" s="3">
        <f>'CARGO 2.'!$C7*'CARGO 2.'!$D7</f>
        <v>0</v>
      </c>
      <c r="G7" s="31"/>
      <c r="H7" s="3">
        <f>H6+'CARGO 2.'!$G7</f>
        <v>0</v>
      </c>
      <c r="I7" s="42">
        <f>I6+'CARGO 2.'!$F7-'CARGO 2.'!$E7-'CARGO 2.'!$G7</f>
        <v>0</v>
      </c>
      <c r="J7" s="95"/>
    </row>
    <row r="8" spans="1:12" ht="15">
      <c r="A8" s="39">
        <v>43360</v>
      </c>
      <c r="B8" s="3">
        <v>0</v>
      </c>
      <c r="C8" s="3">
        <v>0</v>
      </c>
      <c r="D8" s="68">
        <f t="shared" si="0"/>
        <v>2220</v>
      </c>
      <c r="E8" s="3"/>
      <c r="F8" s="3">
        <f>'CARGO 2.'!$C8*'CARGO 2.'!$D8</f>
        <v>0</v>
      </c>
      <c r="G8" s="3"/>
      <c r="H8" s="3">
        <f>H7+'CARGO 2.'!$G8</f>
        <v>0</v>
      </c>
      <c r="I8" s="42">
        <f>I7+'CARGO 2.'!$F8-'CARGO 2.'!$E8-'CARGO 2.'!$G8</f>
        <v>0</v>
      </c>
      <c r="J8" s="96"/>
      <c r="L8" s="20"/>
    </row>
    <row r="9" spans="1:10" ht="15">
      <c r="A9" s="39">
        <v>43361</v>
      </c>
      <c r="B9" s="3">
        <v>0</v>
      </c>
      <c r="C9" s="3">
        <v>0</v>
      </c>
      <c r="D9" s="68">
        <f t="shared" si="0"/>
        <v>2220</v>
      </c>
      <c r="E9" s="3"/>
      <c r="F9" s="3">
        <f>'CARGO 2.'!$C9*'CARGO 2.'!$D9</f>
        <v>0</v>
      </c>
      <c r="G9" s="31"/>
      <c r="H9" s="3">
        <f>H8+'CARGO 2.'!$G9</f>
        <v>0</v>
      </c>
      <c r="I9" s="42">
        <f>I8+'CARGO 2.'!$F9-'CARGO 2.'!$E9-'CARGO 2.'!$G9</f>
        <v>0</v>
      </c>
      <c r="J9" s="96"/>
    </row>
    <row r="10" spans="1:11" ht="15">
      <c r="A10" s="39">
        <v>43362</v>
      </c>
      <c r="B10" s="3">
        <v>0</v>
      </c>
      <c r="C10" s="3">
        <v>0</v>
      </c>
      <c r="D10" s="68">
        <f t="shared" si="0"/>
        <v>2220</v>
      </c>
      <c r="E10" s="3"/>
      <c r="F10" s="3">
        <f>'CARGO 2.'!$C10*'CARGO 2.'!$D10</f>
        <v>0</v>
      </c>
      <c r="G10" s="31"/>
      <c r="H10" s="3">
        <f>H9+'CARGO 2.'!$G10</f>
        <v>0</v>
      </c>
      <c r="I10" s="42">
        <f>I9+'CARGO 2.'!$F10-'CARGO 2.'!$E10-'CARGO 2.'!$G10</f>
        <v>0</v>
      </c>
      <c r="J10" s="96"/>
      <c r="K10" s="20"/>
    </row>
    <row r="11" spans="1:11" ht="15">
      <c r="A11" s="39">
        <v>43363</v>
      </c>
      <c r="B11" s="3">
        <v>0</v>
      </c>
      <c r="C11" s="3">
        <v>0</v>
      </c>
      <c r="D11" s="68">
        <f t="shared" si="0"/>
        <v>2220</v>
      </c>
      <c r="E11" s="3"/>
      <c r="F11" s="3">
        <f>'CARGO 2.'!$C11*'CARGO 2.'!$D11</f>
        <v>0</v>
      </c>
      <c r="G11" s="31"/>
      <c r="H11" s="3">
        <f>H10+'CARGO 2.'!$G11</f>
        <v>0</v>
      </c>
      <c r="I11" s="42">
        <f>I10+'CARGO 2.'!$F11-'CARGO 2.'!$E11-'CARGO 2.'!$G11</f>
        <v>0</v>
      </c>
      <c r="J11" s="96"/>
      <c r="K11" s="20"/>
    </row>
    <row r="12" spans="1:11" ht="15">
      <c r="A12" s="39">
        <v>43364</v>
      </c>
      <c r="B12" s="3">
        <v>0</v>
      </c>
      <c r="C12" s="3">
        <v>0</v>
      </c>
      <c r="D12" s="68">
        <f t="shared" si="0"/>
        <v>2220</v>
      </c>
      <c r="E12" s="3"/>
      <c r="F12" s="3">
        <f>'CARGO 2.'!$C12*'CARGO 2.'!$D12</f>
        <v>0</v>
      </c>
      <c r="G12" s="102"/>
      <c r="H12" s="3">
        <f>H11+'CARGO 2.'!$G12</f>
        <v>0</v>
      </c>
      <c r="I12" s="42">
        <f>I11+'CARGO 2.'!$F12-'CARGO 2.'!$E12-'CARGO 2.'!$G12</f>
        <v>0</v>
      </c>
      <c r="J12" s="96"/>
      <c r="K12" s="20"/>
    </row>
    <row r="13" spans="1:13" ht="15">
      <c r="A13" s="39">
        <v>43365</v>
      </c>
      <c r="B13" s="3">
        <v>0</v>
      </c>
      <c r="C13" s="3">
        <v>0</v>
      </c>
      <c r="D13" s="68">
        <f t="shared" si="0"/>
        <v>2220</v>
      </c>
      <c r="E13" s="3"/>
      <c r="F13" s="3">
        <f>'CARGO 2.'!$C13*'CARGO 2.'!$D13</f>
        <v>0</v>
      </c>
      <c r="G13" s="31"/>
      <c r="H13" s="3">
        <f>H12+'CARGO 2.'!$G13</f>
        <v>0</v>
      </c>
      <c r="I13" s="42">
        <f>I12+'CARGO 2.'!$F13-'CARGO 2.'!$E13-'CARGO 2.'!$G13</f>
        <v>0</v>
      </c>
      <c r="J13" s="96"/>
      <c r="K13" s="20"/>
      <c r="M13" s="92"/>
    </row>
    <row r="14" spans="1:11" ht="15">
      <c r="A14" s="39">
        <v>43366</v>
      </c>
      <c r="B14" s="3">
        <v>0</v>
      </c>
      <c r="C14" s="3">
        <v>0</v>
      </c>
      <c r="D14" s="68">
        <f t="shared" si="0"/>
        <v>2220</v>
      </c>
      <c r="E14" s="3"/>
      <c r="F14" s="3">
        <f>'CARGO 2.'!$C14*'CARGO 2.'!$D14</f>
        <v>0</v>
      </c>
      <c r="G14" s="31"/>
      <c r="H14" s="3">
        <f>H13+'CARGO 2.'!$G14</f>
        <v>0</v>
      </c>
      <c r="I14" s="42">
        <f>I13+'CARGO 2.'!$F14-'CARGO 2.'!$E14-'CARGO 2.'!$G14</f>
        <v>0</v>
      </c>
      <c r="J14" s="96"/>
      <c r="K14" s="20"/>
    </row>
    <row r="15" spans="1:10" ht="15">
      <c r="A15" s="39">
        <v>43367</v>
      </c>
      <c r="B15" s="3">
        <v>20</v>
      </c>
      <c r="C15" s="3">
        <v>5</v>
      </c>
      <c r="D15" s="68">
        <f t="shared" si="0"/>
        <v>2220</v>
      </c>
      <c r="E15" s="3"/>
      <c r="F15" s="3">
        <f>'CARGO 2.'!$C15*'CARGO 2.'!$D15</f>
        <v>11100</v>
      </c>
      <c r="G15" s="31">
        <v>11033</v>
      </c>
      <c r="H15" s="3">
        <f>H14+'CARGO 2.'!$G15</f>
        <v>11033</v>
      </c>
      <c r="I15" s="42">
        <f>I14+'CARGO 2.'!$F15-'CARGO 2.'!$E15-'CARGO 2.'!$G15</f>
        <v>67</v>
      </c>
      <c r="J15" s="96">
        <v>67</v>
      </c>
    </row>
    <row r="16" spans="1:10" ht="15">
      <c r="A16" s="39">
        <v>43368</v>
      </c>
      <c r="B16" s="3">
        <f>B15-C15+10</f>
        <v>25</v>
      </c>
      <c r="C16" s="3">
        <v>18</v>
      </c>
      <c r="D16" s="68">
        <f t="shared" si="0"/>
        <v>2220</v>
      </c>
      <c r="E16" s="3"/>
      <c r="F16" s="3">
        <f>'CARGO 2.'!$C16*'CARGO 2.'!$D16</f>
        <v>39960</v>
      </c>
      <c r="G16" s="3">
        <f>17693+7664+50+9894</f>
        <v>35301</v>
      </c>
      <c r="H16" s="3">
        <f>H15+'CARGO 2.'!$G16</f>
        <v>46334</v>
      </c>
      <c r="I16" s="42">
        <f>I15+'CARGO 2.'!$F16-'CARGO 2.'!$E16-'CARGO 2.'!$G16</f>
        <v>4726</v>
      </c>
      <c r="J16" s="96">
        <f>56+56+67</f>
        <v>179</v>
      </c>
    </row>
    <row r="17" spans="1:10" ht="15">
      <c r="A17" s="39">
        <v>43369</v>
      </c>
      <c r="B17" s="3">
        <f aca="true" t="shared" si="1" ref="B17:B22">B16-C16</f>
        <v>7</v>
      </c>
      <c r="C17" s="3"/>
      <c r="D17" s="68">
        <f t="shared" si="0"/>
        <v>2220</v>
      </c>
      <c r="E17" s="3"/>
      <c r="F17" s="3">
        <f>'CARGO 2.'!$C17*'CARGO 2.'!$D17</f>
        <v>0</v>
      </c>
      <c r="G17" s="31"/>
      <c r="H17" s="3">
        <f>H16+'CARGO 2.'!$G17</f>
        <v>46334</v>
      </c>
      <c r="I17" s="42">
        <f>I16+'CARGO 2.'!$F17-'CARGO 2.'!$E17-'CARGO 2.'!$G17</f>
        <v>4726</v>
      </c>
      <c r="J17" s="96"/>
    </row>
    <row r="18" spans="1:10" ht="15">
      <c r="A18" s="39">
        <v>43370</v>
      </c>
      <c r="B18" s="3">
        <f t="shared" si="1"/>
        <v>7</v>
      </c>
      <c r="C18" s="3"/>
      <c r="D18" s="68">
        <f t="shared" si="0"/>
        <v>2220</v>
      </c>
      <c r="E18" s="3"/>
      <c r="F18" s="3">
        <f>'CARGO 2.'!$C18*'CARGO 2.'!$D18</f>
        <v>0</v>
      </c>
      <c r="G18" s="31"/>
      <c r="H18" s="3">
        <f>H17+'CARGO 2.'!$G18</f>
        <v>46334</v>
      </c>
      <c r="I18" s="42">
        <f>I17+'CARGO 2.'!$F18-'CARGO 2.'!$E18-'CARGO 2.'!$G18</f>
        <v>4726</v>
      </c>
      <c r="J18" s="96"/>
    </row>
    <row r="19" spans="1:10" ht="15">
      <c r="A19" s="39">
        <v>43371</v>
      </c>
      <c r="B19" s="3">
        <f t="shared" si="1"/>
        <v>7</v>
      </c>
      <c r="C19" s="3"/>
      <c r="D19" s="68">
        <f t="shared" si="0"/>
        <v>2220</v>
      </c>
      <c r="E19" s="3"/>
      <c r="F19" s="3">
        <f>'CARGO 2.'!$C19*'CARGO 2.'!$D19</f>
        <v>0</v>
      </c>
      <c r="G19" s="31"/>
      <c r="H19" s="3">
        <f>H18+'CARGO 2.'!$G19</f>
        <v>46334</v>
      </c>
      <c r="I19" s="42">
        <f>I18+'CARGO 2.'!$F19-'CARGO 2.'!$E19-'CARGO 2.'!$G19</f>
        <v>4726</v>
      </c>
      <c r="J19" s="96"/>
    </row>
    <row r="20" spans="1:10" ht="15">
      <c r="A20" s="39">
        <v>43372</v>
      </c>
      <c r="B20" s="3">
        <f t="shared" si="1"/>
        <v>7</v>
      </c>
      <c r="C20" s="3"/>
      <c r="D20" s="68">
        <f t="shared" si="0"/>
        <v>2220</v>
      </c>
      <c r="E20" s="3"/>
      <c r="F20" s="3"/>
      <c r="G20" s="31"/>
      <c r="H20" s="3">
        <f>H19+'CARGO 2.'!$G20</f>
        <v>46334</v>
      </c>
      <c r="I20" s="42">
        <f>I19+'CARGO 2.'!$F20-'CARGO 2.'!$E20-'CARGO 2.'!$G20</f>
        <v>4726</v>
      </c>
      <c r="J20" s="96"/>
    </row>
    <row r="21" spans="1:10" ht="15">
      <c r="A21" s="39">
        <v>43373</v>
      </c>
      <c r="B21" s="3">
        <f t="shared" si="1"/>
        <v>7</v>
      </c>
      <c r="C21" s="3"/>
      <c r="D21" s="68">
        <f t="shared" si="0"/>
        <v>2220</v>
      </c>
      <c r="E21" s="3"/>
      <c r="F21" s="3"/>
      <c r="G21" s="31"/>
      <c r="H21" s="3">
        <f>H20+'CARGO 2.'!$G21</f>
        <v>46334</v>
      </c>
      <c r="I21" s="42">
        <f>I20+'CARGO 2.'!$F21-'CARGO 2.'!$E21-'CARGO 2.'!$G21</f>
        <v>4726</v>
      </c>
      <c r="J21" s="96"/>
    </row>
    <row r="22" spans="1:10" ht="15">
      <c r="A22" s="39">
        <v>43374</v>
      </c>
      <c r="B22" s="3">
        <f t="shared" si="1"/>
        <v>7</v>
      </c>
      <c r="C22" s="3"/>
      <c r="D22" s="70"/>
      <c r="E22" s="3"/>
      <c r="F22" s="3"/>
      <c r="G22" s="31"/>
      <c r="H22" s="3"/>
      <c r="I22" s="42"/>
      <c r="J22" s="96"/>
    </row>
    <row r="23" spans="1:10" ht="15">
      <c r="A23" s="39"/>
      <c r="B23" s="59"/>
      <c r="C23" s="3"/>
      <c r="D23" s="70"/>
      <c r="E23" s="3"/>
      <c r="F23" s="3">
        <f>'CARGO 2.'!$C23*'CARGO 2.'!$D23</f>
        <v>0</v>
      </c>
      <c r="G23" s="3"/>
      <c r="H23" s="3"/>
      <c r="I23" s="42"/>
      <c r="J23" s="96"/>
    </row>
    <row r="24" spans="1:10" ht="15">
      <c r="A24" s="15"/>
      <c r="B24" s="15"/>
      <c r="C24" s="15">
        <f>SUM(C5:C21)</f>
        <v>23</v>
      </c>
      <c r="D24" s="15"/>
      <c r="E24" s="15">
        <f>SUM(E5:E21)</f>
        <v>0</v>
      </c>
      <c r="F24" s="15">
        <f>SUM(F5:F21)</f>
        <v>51060</v>
      </c>
      <c r="G24" s="15">
        <f>SUM(G5:G21)</f>
        <v>46334</v>
      </c>
      <c r="H24" s="15"/>
      <c r="I24" s="15"/>
      <c r="J24" s="15">
        <f>SUM(J5:J19)</f>
        <v>246</v>
      </c>
    </row>
    <row r="25" spans="1:10" ht="15">
      <c r="A25" s="63"/>
      <c r="B25" s="64"/>
      <c r="C25" s="64"/>
      <c r="D25" s="64"/>
      <c r="E25" s="64"/>
      <c r="F25" s="64"/>
      <c r="G25" s="64"/>
      <c r="H25" s="64"/>
      <c r="I25" s="65"/>
      <c r="J25" s="65">
        <f>I19-J24</f>
        <v>4480</v>
      </c>
    </row>
    <row r="26" spans="5:10" ht="15">
      <c r="E26" s="23"/>
      <c r="I26" s="20"/>
      <c r="J26" s="20"/>
    </row>
    <row r="27" spans="3:7" ht="15">
      <c r="C27" s="20"/>
      <c r="E27" s="20"/>
      <c r="F27" s="20"/>
      <c r="G27" s="20"/>
    </row>
    <row r="28" spans="2:8" ht="18.75">
      <c r="B28" s="142" t="s">
        <v>73</v>
      </c>
      <c r="C28" s="142"/>
      <c r="D28" s="142"/>
      <c r="E28" s="142"/>
      <c r="F28" s="142"/>
      <c r="G28" s="142"/>
      <c r="H28" s="142"/>
    </row>
    <row r="29" spans="1:14" ht="15">
      <c r="A29" s="44" t="s">
        <v>0</v>
      </c>
      <c r="B29" s="45" t="s">
        <v>69</v>
      </c>
      <c r="C29" s="45" t="s">
        <v>70</v>
      </c>
      <c r="D29" s="45" t="s">
        <v>71</v>
      </c>
      <c r="E29" s="45" t="s">
        <v>140</v>
      </c>
      <c r="F29" s="45" t="s">
        <v>141</v>
      </c>
      <c r="G29" s="45" t="s">
        <v>138</v>
      </c>
      <c r="H29" s="45" t="s">
        <v>139</v>
      </c>
      <c r="I29" s="45" t="s">
        <v>3</v>
      </c>
      <c r="J29" s="45" t="s">
        <v>143</v>
      </c>
      <c r="K29" s="46" t="s">
        <v>8</v>
      </c>
      <c r="L29" s="98" t="s">
        <v>127</v>
      </c>
      <c r="M29" s="108" t="s">
        <v>137</v>
      </c>
      <c r="N29" s="109" t="s">
        <v>142</v>
      </c>
    </row>
    <row r="30" spans="1:14" ht="15">
      <c r="A30" s="56"/>
      <c r="B30" s="106">
        <v>10000</v>
      </c>
      <c r="C30" s="28"/>
      <c r="D30" s="28">
        <v>100.5</v>
      </c>
      <c r="E30" s="50">
        <v>0</v>
      </c>
      <c r="F30" s="50">
        <f>'CARGO 2.'!$B30*'CARGO 2.'!$D30</f>
        <v>1005000</v>
      </c>
      <c r="G30" s="50"/>
      <c r="H30" s="50">
        <v>0</v>
      </c>
      <c r="I30" s="50"/>
      <c r="J30" s="50">
        <v>0</v>
      </c>
      <c r="K30" s="51">
        <f>'CARGO 2.'!$J30-'CARGO 2.'!$I30</f>
        <v>0</v>
      </c>
      <c r="L30" s="99"/>
      <c r="M30" s="97">
        <v>0</v>
      </c>
      <c r="N30" s="95">
        <v>0</v>
      </c>
    </row>
    <row r="31" spans="1:14" ht="15">
      <c r="A31" s="39">
        <v>43462</v>
      </c>
      <c r="B31" s="3">
        <v>10000</v>
      </c>
      <c r="C31" s="3">
        <v>0</v>
      </c>
      <c r="D31" s="68">
        <v>111</v>
      </c>
      <c r="E31" s="3">
        <f>250+900+300</f>
        <v>1450</v>
      </c>
      <c r="F31" s="3">
        <f>'CARGO 2.'!$C31*105.5</f>
        <v>0</v>
      </c>
      <c r="G31" s="3">
        <f>'CARGO 2.'!$C31*'CARGO 2.'!$D31</f>
        <v>0</v>
      </c>
      <c r="H31" s="3">
        <v>0</v>
      </c>
      <c r="I31" s="31">
        <v>0</v>
      </c>
      <c r="J31" s="3">
        <f>'CARGO 2.'!$I31</f>
        <v>0</v>
      </c>
      <c r="K31" s="42">
        <f>'CARGO 2.'!$G31-'CARGO 2.'!$E31-L31-'CARGO 2.'!$I31</f>
        <v>-1450</v>
      </c>
      <c r="L31" s="96">
        <v>0</v>
      </c>
      <c r="M31" s="97">
        <f>'CARGO 2.'!$G31-'CARGO 2.'!$F31-'CARGO 2.'!$E31-'CARGO 2.'!$L31</f>
        <v>-1450</v>
      </c>
      <c r="N31" s="95">
        <f>'CARGO 2.'!$M31+N30</f>
        <v>-1450</v>
      </c>
    </row>
    <row r="32" spans="1:14" ht="15">
      <c r="A32" s="39">
        <v>43463</v>
      </c>
      <c r="B32" s="3">
        <f aca="true" t="shared" si="2" ref="B32:B43">B31-C31</f>
        <v>10000</v>
      </c>
      <c r="C32" s="25">
        <v>1564</v>
      </c>
      <c r="D32" s="68">
        <v>111</v>
      </c>
      <c r="E32" s="30">
        <v>1430</v>
      </c>
      <c r="F32" s="30">
        <f>'CARGO 2.'!$C32*100.5</f>
        <v>157182</v>
      </c>
      <c r="G32" s="3">
        <f>'CARGO 2.'!$C32*'CARGO 2.'!$D32</f>
        <v>173604</v>
      </c>
      <c r="H32" s="25">
        <f>'CARGO 2.'!$G32+H31</f>
        <v>173604</v>
      </c>
      <c r="I32" s="30">
        <v>100000</v>
      </c>
      <c r="J32" s="3">
        <f>J31+'CARGO 2.'!$I32</f>
        <v>100000</v>
      </c>
      <c r="K32" s="42">
        <f>K31+G32-I32-'CARGO 2.'!$E32-'CARGO 2.'!$L32</f>
        <v>70374</v>
      </c>
      <c r="L32" s="96">
        <v>350</v>
      </c>
      <c r="M32" s="97">
        <f>'CARGO 2.'!$G32-'CARGO 2.'!$F32-'CARGO 2.'!$E32-'CARGO 2.'!$L32</f>
        <v>14642</v>
      </c>
      <c r="N32" s="95">
        <f>'CARGO 2.'!$M32+N31</f>
        <v>13192</v>
      </c>
    </row>
    <row r="33" spans="1:14" ht="15">
      <c r="A33" s="39">
        <v>43464</v>
      </c>
      <c r="B33" s="31">
        <f t="shared" si="2"/>
        <v>8436</v>
      </c>
      <c r="C33" s="3">
        <v>887</v>
      </c>
      <c r="D33" s="68">
        <v>111</v>
      </c>
      <c r="E33" s="3">
        <f>500+300</f>
        <v>800</v>
      </c>
      <c r="F33" s="30">
        <f>'CARGO 2.'!$C33*100.5</f>
        <v>89143.5</v>
      </c>
      <c r="G33" s="3">
        <f>'CARGO 2.'!$C33*'CARGO 2.'!$D33</f>
        <v>98457</v>
      </c>
      <c r="H33" s="25">
        <f>'CARGO 2.'!$G33+H32</f>
        <v>272061</v>
      </c>
      <c r="I33" s="3">
        <v>58816</v>
      </c>
      <c r="J33" s="3">
        <f>J32+'CARGO 2.'!$I33</f>
        <v>158816</v>
      </c>
      <c r="K33" s="42">
        <f>K32+G33-I33-'CARGO 2.'!$E33-'CARGO 2.'!$L33</f>
        <v>108975</v>
      </c>
      <c r="L33" s="96">
        <v>240</v>
      </c>
      <c r="M33" s="97">
        <f>'CARGO 2.'!$G33-'CARGO 2.'!$F33-'CARGO 2.'!$E33-'CARGO 2.'!$L33</f>
        <v>8273.5</v>
      </c>
      <c r="N33" s="95">
        <f>'CARGO 2.'!$M33+N32</f>
        <v>21465.5</v>
      </c>
    </row>
    <row r="34" spans="1:14" ht="15">
      <c r="A34" s="39">
        <v>43465</v>
      </c>
      <c r="B34" s="31">
        <f t="shared" si="2"/>
        <v>7549</v>
      </c>
      <c r="C34" s="3">
        <v>1887</v>
      </c>
      <c r="D34" s="68">
        <v>111</v>
      </c>
      <c r="E34" s="3">
        <f>1400+1000+300</f>
        <v>2700</v>
      </c>
      <c r="F34" s="30">
        <f>'CARGO 2.'!$C34*100.5</f>
        <v>189643.5</v>
      </c>
      <c r="G34" s="3">
        <f>'CARGO 2.'!$C34*'CARGO 2.'!$D34</f>
        <v>209457</v>
      </c>
      <c r="H34" s="25">
        <f>'CARGO 2.'!$G34+H33</f>
        <v>481518</v>
      </c>
      <c r="I34" s="3">
        <v>179561</v>
      </c>
      <c r="J34" s="3">
        <f>J33+'CARGO 2.'!$I34</f>
        <v>338377</v>
      </c>
      <c r="K34" s="42">
        <f>K33+G34-I34-'CARGO 2.'!$E34-'CARGO 2.'!$L34</f>
        <v>135502</v>
      </c>
      <c r="L34" s="96">
        <v>669</v>
      </c>
      <c r="M34" s="97">
        <f>'CARGO 2.'!$G34-'CARGO 2.'!$F34-'CARGO 2.'!$E34-'CARGO 2.'!$L34</f>
        <v>16444.5</v>
      </c>
      <c r="N34" s="95">
        <f>'CARGO 2.'!$M34+N33</f>
        <v>37910</v>
      </c>
    </row>
    <row r="35" spans="1:14" ht="15">
      <c r="A35" s="39">
        <v>43466</v>
      </c>
      <c r="B35" s="31">
        <f t="shared" si="2"/>
        <v>5662</v>
      </c>
      <c r="C35" s="3">
        <v>970</v>
      </c>
      <c r="D35" s="68">
        <v>111</v>
      </c>
      <c r="E35" s="3">
        <f>500+300+500</f>
        <v>1300</v>
      </c>
      <c r="F35" s="30">
        <f>'CARGO 2.'!$C35*100.5</f>
        <v>97485</v>
      </c>
      <c r="G35" s="3">
        <f>'CARGO 2.'!$C35*'CARGO 2.'!$D35</f>
        <v>107670</v>
      </c>
      <c r="H35" s="25">
        <f>'CARGO 2.'!$G35+H34</f>
        <v>589188</v>
      </c>
      <c r="I35" s="3">
        <v>110734</v>
      </c>
      <c r="J35" s="3">
        <f>J34+'CARGO 2.'!$I35</f>
        <v>449111</v>
      </c>
      <c r="K35" s="42">
        <f>K34+G35-I35-'CARGO 2.'!$E35-'CARGO 2.'!$L35</f>
        <v>130728</v>
      </c>
      <c r="L35" s="96">
        <v>410</v>
      </c>
      <c r="M35" s="97">
        <f>'CARGO 2.'!$G35-'CARGO 2.'!$F35-'CARGO 2.'!$E35-'CARGO 2.'!$L35</f>
        <v>8475</v>
      </c>
      <c r="N35" s="95">
        <f>'CARGO 2.'!$M35+N34</f>
        <v>46385</v>
      </c>
    </row>
    <row r="36" spans="1:14" ht="15">
      <c r="A36" s="39">
        <v>43467</v>
      </c>
      <c r="B36" s="31">
        <f t="shared" si="2"/>
        <v>4692</v>
      </c>
      <c r="C36" s="3">
        <v>1421</v>
      </c>
      <c r="D36" s="68">
        <v>111</v>
      </c>
      <c r="E36" s="3">
        <f>600+300+1300+1000</f>
        <v>3200</v>
      </c>
      <c r="F36" s="30">
        <f>'CARGO 2.'!$C36*100.5</f>
        <v>142810.5</v>
      </c>
      <c r="G36" s="3">
        <f>'CARGO 2.'!$C36*'CARGO 2.'!$D36</f>
        <v>157731</v>
      </c>
      <c r="H36" s="25">
        <f>'CARGO 2.'!$G36+H35</f>
        <v>746919</v>
      </c>
      <c r="I36" s="3">
        <f>70000+70000+14300+1000+14153</f>
        <v>169453</v>
      </c>
      <c r="J36" s="3">
        <f>J35+'CARGO 2.'!$I36</f>
        <v>618564</v>
      </c>
      <c r="K36" s="42">
        <f>K35+G36-I36-'CARGO 2.'!$E36-'CARGO 2.'!$L36</f>
        <v>115208</v>
      </c>
      <c r="L36" s="96">
        <f>210+210+89+89</f>
        <v>598</v>
      </c>
      <c r="M36" s="97">
        <f>'CARGO 2.'!$G36-'CARGO 2.'!$F36-'CARGO 2.'!$E36-'CARGO 2.'!$L36</f>
        <v>11122.5</v>
      </c>
      <c r="N36" s="95">
        <f>'CARGO 2.'!$M36+N35</f>
        <v>57507.5</v>
      </c>
    </row>
    <row r="37" spans="1:14" ht="15">
      <c r="A37" s="39">
        <v>43468</v>
      </c>
      <c r="B37" s="31">
        <f t="shared" si="2"/>
        <v>3271</v>
      </c>
      <c r="C37" s="3">
        <v>1407</v>
      </c>
      <c r="D37" s="68">
        <v>111</v>
      </c>
      <c r="E37" s="3">
        <f>600+200+1000</f>
        <v>1800</v>
      </c>
      <c r="F37" s="30">
        <f>'CARGO 2.'!$C37*100.5</f>
        <v>141403.5</v>
      </c>
      <c r="G37" s="3">
        <f>'CARGO 2.'!$C37*'CARGO 2.'!$D37</f>
        <v>156177</v>
      </c>
      <c r="H37" s="25">
        <f>'CARGO 2.'!$G37+H36</f>
        <v>903096</v>
      </c>
      <c r="I37" s="3">
        <f>42000+58200</f>
        <v>100200</v>
      </c>
      <c r="J37" s="3">
        <f>J36+'CARGO 2.'!$I37</f>
        <v>718764</v>
      </c>
      <c r="K37" s="42">
        <f>K36+G37-I37-'CARGO 2.'!$E37-'CARGO 2.'!$L37</f>
        <v>168985</v>
      </c>
      <c r="L37" s="96">
        <v>400</v>
      </c>
      <c r="M37" s="97">
        <f>'CARGO 2.'!$G37-'CARGO 2.'!$F37-'CARGO 2.'!$E37-'CARGO 2.'!$L37</f>
        <v>12573.5</v>
      </c>
      <c r="N37" s="95">
        <f>'CARGO 2.'!$M37+N36</f>
        <v>70081</v>
      </c>
    </row>
    <row r="38" spans="1:14" ht="15">
      <c r="A38" s="39">
        <v>43469</v>
      </c>
      <c r="B38" s="31">
        <f t="shared" si="2"/>
        <v>1864</v>
      </c>
      <c r="C38" s="3">
        <v>1217</v>
      </c>
      <c r="D38" s="68">
        <v>111</v>
      </c>
      <c r="E38" s="3">
        <f>700</f>
        <v>700</v>
      </c>
      <c r="F38" s="30">
        <f>'CARGO 2.'!$C38*100.5</f>
        <v>122308.5</v>
      </c>
      <c r="G38" s="3">
        <f>'CARGO 2.'!$C38*'CARGO 2.'!$D38</f>
        <v>135087</v>
      </c>
      <c r="H38" s="25">
        <f>'CARGO 2.'!$G38+H37</f>
        <v>1038183</v>
      </c>
      <c r="I38" s="3">
        <f>53779+70000</f>
        <v>123779</v>
      </c>
      <c r="J38" s="3">
        <f>J37+'CARGO 2.'!$I38</f>
        <v>842543</v>
      </c>
      <c r="K38" s="42">
        <f>K37+G38-I38-'CARGO 2.'!$E38-'CARGO 2.'!$L38</f>
        <v>179183</v>
      </c>
      <c r="L38" s="96">
        <f>200+210</f>
        <v>410</v>
      </c>
      <c r="M38" s="97">
        <f>'CARGO 2.'!$G38-'CARGO 2.'!$F38-'CARGO 2.'!$E38-'CARGO 2.'!$L38</f>
        <v>11668.5</v>
      </c>
      <c r="N38" s="95">
        <f>'CARGO 2.'!$M38+N37</f>
        <v>81749.5</v>
      </c>
    </row>
    <row r="39" spans="1:14" ht="15">
      <c r="A39" s="39">
        <v>43470</v>
      </c>
      <c r="B39" s="31">
        <f t="shared" si="2"/>
        <v>647</v>
      </c>
      <c r="C39" s="3">
        <v>646</v>
      </c>
      <c r="D39" s="68">
        <v>111</v>
      </c>
      <c r="E39" s="3">
        <v>3500</v>
      </c>
      <c r="F39" s="30">
        <f>'CARGO 2.'!$C39*100.5</f>
        <v>64923</v>
      </c>
      <c r="G39" s="3">
        <f>'CARGO 2.'!$C39*'CARGO 2.'!$D39</f>
        <v>71706</v>
      </c>
      <c r="H39" s="25">
        <f>'CARGO 2.'!$G39+H38</f>
        <v>1109889</v>
      </c>
      <c r="I39" s="3">
        <f>48600+8040+17968+41400+48000+2200</f>
        <v>166208</v>
      </c>
      <c r="J39" s="3">
        <f>J38+'CARGO 2.'!$I39</f>
        <v>1008751</v>
      </c>
      <c r="K39" s="42">
        <f>K38+G39-I39-'CARGO 2.'!$E39-'CARGO 2.'!$L39</f>
        <v>80341</v>
      </c>
      <c r="L39" s="96">
        <f>200+34+202+202+202</f>
        <v>840</v>
      </c>
      <c r="M39" s="97">
        <f>'CARGO 2.'!$G39-'CARGO 2.'!$F39-'CARGO 2.'!$E39-'CARGO 2.'!$L39</f>
        <v>2443</v>
      </c>
      <c r="N39" s="95">
        <f>'CARGO 2.'!$M39+N38</f>
        <v>84192.5</v>
      </c>
    </row>
    <row r="40" spans="1:14" ht="15">
      <c r="A40" s="39">
        <v>43471</v>
      </c>
      <c r="B40" s="31">
        <f t="shared" si="2"/>
        <v>1</v>
      </c>
      <c r="C40" s="3">
        <v>0</v>
      </c>
      <c r="D40" s="68">
        <v>111</v>
      </c>
      <c r="E40" s="3">
        <v>0</v>
      </c>
      <c r="F40" s="30">
        <f>'CARGO 2.'!$C40*100.5</f>
        <v>0</v>
      </c>
      <c r="G40" s="3">
        <f>'CARGO 2.'!$C40*'CARGO 2.'!$D40</f>
        <v>0</v>
      </c>
      <c r="H40" s="25">
        <f>'CARGO 2.'!$G40+H39</f>
        <v>1109889</v>
      </c>
      <c r="I40" s="3">
        <f>70000+10341</f>
        <v>80341</v>
      </c>
      <c r="J40" s="3">
        <f>J39+'CARGO 2.'!$I40</f>
        <v>1089092</v>
      </c>
      <c r="K40" s="42">
        <f>K39+G40-I40-'CARGO 2.'!$E40-'CARGO 2.'!$L40</f>
        <v>0</v>
      </c>
      <c r="L40" s="96">
        <v>0</v>
      </c>
      <c r="M40" s="97">
        <f>'CARGO 2.'!$G40-'CARGO 2.'!$F40-'CARGO 2.'!$E40-'CARGO 2.'!$L40</f>
        <v>0</v>
      </c>
      <c r="N40" s="95">
        <f>'CARGO 2.'!$M40+N39</f>
        <v>84192.5</v>
      </c>
    </row>
    <row r="41" spans="1:14" ht="15">
      <c r="A41" s="39">
        <v>43472</v>
      </c>
      <c r="B41" s="31">
        <f t="shared" si="2"/>
        <v>1</v>
      </c>
      <c r="C41" s="3">
        <v>0</v>
      </c>
      <c r="D41" s="68">
        <v>111</v>
      </c>
      <c r="E41" s="3">
        <v>0</v>
      </c>
      <c r="F41" s="30">
        <f>'CARGO 2.'!$C41*100.5</f>
        <v>0</v>
      </c>
      <c r="G41" s="3">
        <f>'CARGO 2.'!$C41*'CARGO 2.'!$D41</f>
        <v>0</v>
      </c>
      <c r="H41" s="25">
        <f>'CARGO 2.'!$G41+H40</f>
        <v>1109889</v>
      </c>
      <c r="I41" s="3">
        <v>0</v>
      </c>
      <c r="J41" s="3">
        <f>J40+'CARGO 2.'!$I41</f>
        <v>1089092</v>
      </c>
      <c r="K41" s="42">
        <f>K40+G41-I41-'CARGO 2.'!$E41-'CARGO 2.'!$L41</f>
        <v>0</v>
      </c>
      <c r="L41" s="96">
        <v>0</v>
      </c>
      <c r="M41" s="97">
        <f>'CARGO 2.'!$G41-'CARGO 2.'!$F41-'CARGO 2.'!$E41-'CARGO 2.'!$L41</f>
        <v>0</v>
      </c>
      <c r="N41" s="95">
        <f>'CARGO 2.'!$M41+N40</f>
        <v>84192.5</v>
      </c>
    </row>
    <row r="42" spans="1:14" ht="15">
      <c r="A42" s="39">
        <v>43473</v>
      </c>
      <c r="B42" s="31">
        <f t="shared" si="2"/>
        <v>1</v>
      </c>
      <c r="C42" s="3">
        <v>0</v>
      </c>
      <c r="D42" s="68">
        <v>111</v>
      </c>
      <c r="E42" s="3">
        <v>0</v>
      </c>
      <c r="F42" s="30">
        <f>'CARGO 2.'!$C42*100.5</f>
        <v>0</v>
      </c>
      <c r="G42" s="3">
        <f>'CARGO 2.'!$C42*'CARGO 2.'!$D42</f>
        <v>0</v>
      </c>
      <c r="H42" s="25">
        <f>'CARGO 2.'!$G42+H41</f>
        <v>1109889</v>
      </c>
      <c r="I42" s="3">
        <v>0</v>
      </c>
      <c r="J42" s="3">
        <f>J41+'CARGO 2.'!$I42</f>
        <v>1089092</v>
      </c>
      <c r="K42" s="42">
        <f>K41+G42-I42-'CARGO 2.'!$E42-'CARGO 2.'!$L42</f>
        <v>0</v>
      </c>
      <c r="L42" s="96">
        <v>0</v>
      </c>
      <c r="M42" s="97">
        <f>'CARGO 2.'!$G42-'CARGO 2.'!$F42-'CARGO 2.'!$E42-'CARGO 2.'!$L42</f>
        <v>0</v>
      </c>
      <c r="N42" s="95">
        <f>'CARGO 2.'!$M42+N41</f>
        <v>84192.5</v>
      </c>
    </row>
    <row r="43" spans="1:14" ht="15">
      <c r="A43" s="39">
        <v>43474</v>
      </c>
      <c r="B43" s="31">
        <f t="shared" si="2"/>
        <v>1</v>
      </c>
      <c r="C43" s="3">
        <v>0</v>
      </c>
      <c r="D43" s="68">
        <v>111</v>
      </c>
      <c r="E43" s="3">
        <v>0</v>
      </c>
      <c r="F43" s="30">
        <f>'CARGO 2.'!$C43*100.5</f>
        <v>0</v>
      </c>
      <c r="G43" s="3">
        <f>'CARGO 2.'!$C43*'CARGO 2.'!$D43</f>
        <v>0</v>
      </c>
      <c r="H43" s="25">
        <f>'CARGO 2.'!$G43+H42</f>
        <v>1109889</v>
      </c>
      <c r="I43" s="3">
        <v>0</v>
      </c>
      <c r="J43" s="3">
        <f>J42+'CARGO 2.'!$I43</f>
        <v>1089092</v>
      </c>
      <c r="K43" s="42">
        <f>K42+G43-I43-'CARGO 2.'!$E43-'CARGO 2.'!$L43</f>
        <v>0</v>
      </c>
      <c r="L43" s="96">
        <v>0</v>
      </c>
      <c r="M43" s="97">
        <f>'CARGO 2.'!$G43-'CARGO 2.'!$F43-'CARGO 2.'!$E43-'CARGO 2.'!$L43</f>
        <v>0</v>
      </c>
      <c r="N43" s="95">
        <f>'CARGO 2.'!$M43+N42</f>
        <v>84192.5</v>
      </c>
    </row>
    <row r="44" spans="1:14" ht="15">
      <c r="A44" s="39">
        <v>43475</v>
      </c>
      <c r="B44" s="31">
        <f>B43-C43</f>
        <v>1</v>
      </c>
      <c r="C44" s="3">
        <v>0</v>
      </c>
      <c r="D44" s="68">
        <v>111</v>
      </c>
      <c r="E44" s="3">
        <v>0</v>
      </c>
      <c r="F44" s="30">
        <f>'CARGO 2.'!$C44*100.5</f>
        <v>0</v>
      </c>
      <c r="G44" s="3">
        <f>'CARGO 2.'!$C44*'CARGO 2.'!$D44</f>
        <v>0</v>
      </c>
      <c r="H44" s="25">
        <f>'CARGO 2.'!$G44+H43</f>
        <v>1109889</v>
      </c>
      <c r="I44" s="3">
        <v>0</v>
      </c>
      <c r="J44" s="3">
        <f>J43+'CARGO 2.'!$I44</f>
        <v>1089092</v>
      </c>
      <c r="K44" s="42">
        <f>K43+G44-I44-'CARGO 2.'!$E44-'CARGO 2.'!$L44</f>
        <v>0</v>
      </c>
      <c r="L44" s="96">
        <v>0</v>
      </c>
      <c r="M44" s="97">
        <f>'CARGO 2.'!$G44-'CARGO 2.'!$F44-'CARGO 2.'!$E44-'CARGO 2.'!$L44</f>
        <v>0</v>
      </c>
      <c r="N44" s="95">
        <f>'CARGO 2.'!$M44+N43</f>
        <v>84192.5</v>
      </c>
    </row>
    <row r="45" spans="1:14" ht="15">
      <c r="A45" s="39">
        <v>43476</v>
      </c>
      <c r="B45" s="31">
        <f>B44-C44</f>
        <v>1</v>
      </c>
      <c r="C45" s="3">
        <v>0</v>
      </c>
      <c r="D45" s="68">
        <v>111</v>
      </c>
      <c r="E45" s="3">
        <v>0</v>
      </c>
      <c r="F45" s="30">
        <f>'CARGO 2.'!$C45*100.5</f>
        <v>0</v>
      </c>
      <c r="G45" s="3">
        <f>'CARGO 2.'!$C45*'CARGO 2.'!$D45</f>
        <v>0</v>
      </c>
      <c r="H45" s="25">
        <f>'CARGO 2.'!$G45+H44</f>
        <v>1109889</v>
      </c>
      <c r="I45" s="3">
        <v>0</v>
      </c>
      <c r="J45" s="3">
        <f>J44+'CARGO 2.'!$I45</f>
        <v>1089092</v>
      </c>
      <c r="K45" s="42">
        <f>K44+G45-I45-'CARGO 2.'!$E45-'CARGO 2.'!$L45</f>
        <v>0</v>
      </c>
      <c r="L45" s="96">
        <v>0</v>
      </c>
      <c r="M45" s="97">
        <f>'CARGO 2.'!$G45-'CARGO 2.'!$F45-'CARGO 2.'!$E45-'CARGO 2.'!$L45</f>
        <v>0</v>
      </c>
      <c r="N45" s="95">
        <f>'CARGO 2.'!$M45+N44</f>
        <v>84192.5</v>
      </c>
    </row>
    <row r="46" spans="1:14" ht="15">
      <c r="A46" s="39">
        <v>43477</v>
      </c>
      <c r="B46" s="31">
        <f>B45-C45</f>
        <v>1</v>
      </c>
      <c r="C46" s="3">
        <v>0</v>
      </c>
      <c r="D46" s="68">
        <v>111</v>
      </c>
      <c r="E46" s="3">
        <v>0</v>
      </c>
      <c r="F46" s="30">
        <f>'CARGO 2.'!$C46*100.5</f>
        <v>0</v>
      </c>
      <c r="G46" s="3">
        <f>'CARGO 2.'!$C46*'CARGO 2.'!$D46</f>
        <v>0</v>
      </c>
      <c r="H46" s="25">
        <f>'CARGO 2.'!$G46+H45</f>
        <v>1109889</v>
      </c>
      <c r="I46" s="3">
        <v>0</v>
      </c>
      <c r="J46" s="3">
        <f>J45+'CARGO 2.'!$I46</f>
        <v>1089092</v>
      </c>
      <c r="K46" s="42">
        <f>K45+G46-I46-'CARGO 2.'!$E46-'CARGO 2.'!$L46</f>
        <v>0</v>
      </c>
      <c r="L46" s="96">
        <v>0</v>
      </c>
      <c r="M46" s="97">
        <f>'CARGO 2.'!$G46-'CARGO 2.'!$F46-'CARGO 2.'!$E46-'CARGO 2.'!$L46</f>
        <v>0</v>
      </c>
      <c r="N46" s="95">
        <f>'CARGO 2.'!$M46+N45</f>
        <v>84192.5</v>
      </c>
    </row>
    <row r="47" spans="1:14" ht="15">
      <c r="A47" s="39">
        <v>43478</v>
      </c>
      <c r="B47" s="31">
        <f>B46-C46</f>
        <v>1</v>
      </c>
      <c r="C47" s="3">
        <v>0</v>
      </c>
      <c r="D47" s="68">
        <v>111</v>
      </c>
      <c r="E47" s="3">
        <v>0</v>
      </c>
      <c r="F47" s="30">
        <f>'CARGO 2.'!$C47*100.5</f>
        <v>0</v>
      </c>
      <c r="G47" s="3">
        <f>'CARGO 2.'!$C47*'CARGO 2.'!$D47</f>
        <v>0</v>
      </c>
      <c r="H47" s="25">
        <f>'CARGO 2.'!$G47+H46</f>
        <v>1109889</v>
      </c>
      <c r="I47" s="3">
        <v>0</v>
      </c>
      <c r="J47" s="3">
        <f>J46+'CARGO 2.'!$I47</f>
        <v>1089092</v>
      </c>
      <c r="K47" s="42">
        <f>K46+G47-I47-'CARGO 2.'!$E47-'CARGO 2.'!$L47</f>
        <v>0</v>
      </c>
      <c r="L47" s="96">
        <v>0</v>
      </c>
      <c r="M47" s="97">
        <f>'CARGO 2.'!$G47-'CARGO 2.'!$F47-'CARGO 2.'!$E47-'CARGO 2.'!$L47</f>
        <v>0</v>
      </c>
      <c r="N47" s="95">
        <f>'CARGO 2.'!$M47+N46</f>
        <v>84192.5</v>
      </c>
    </row>
    <row r="48" spans="1:14" ht="15">
      <c r="A48" s="39">
        <v>43479</v>
      </c>
      <c r="B48" s="31">
        <f>B47-C47</f>
        <v>1</v>
      </c>
      <c r="C48" s="3">
        <v>0</v>
      </c>
      <c r="D48" s="68">
        <v>111</v>
      </c>
      <c r="E48" s="3">
        <v>0</v>
      </c>
      <c r="F48" s="30">
        <f>'CARGO 2.'!$C48*100.5</f>
        <v>0</v>
      </c>
      <c r="G48" s="3">
        <f>'CARGO 2.'!$C48*'CARGO 2.'!$D48</f>
        <v>0</v>
      </c>
      <c r="H48" s="25">
        <f>'CARGO 2.'!$G48+H47</f>
        <v>1109889</v>
      </c>
      <c r="I48" s="3">
        <v>0</v>
      </c>
      <c r="J48" s="3">
        <f>J47+'CARGO 2.'!$I48</f>
        <v>1089092</v>
      </c>
      <c r="K48" s="42">
        <f>K47+G48-I48-'CARGO 2.'!$E48-'CARGO 2.'!$L48</f>
        <v>0</v>
      </c>
      <c r="L48" s="96">
        <v>0</v>
      </c>
      <c r="M48" s="97">
        <f>'CARGO 2.'!$G48-'CARGO 2.'!$F48-'CARGO 2.'!$E48-'CARGO 2.'!$L48</f>
        <v>0</v>
      </c>
      <c r="N48" s="95">
        <f>'CARGO 2.'!$M48+N47</f>
        <v>84192.5</v>
      </c>
    </row>
    <row r="49" spans="1:14" ht="15">
      <c r="A49" s="39">
        <v>43480</v>
      </c>
      <c r="B49" s="31">
        <f>B48-C48</f>
        <v>1</v>
      </c>
      <c r="C49" s="3">
        <v>0</v>
      </c>
      <c r="D49" s="68">
        <v>111</v>
      </c>
      <c r="E49" s="3">
        <v>0</v>
      </c>
      <c r="F49" s="30">
        <f>'CARGO 2.'!$C49*100.5</f>
        <v>0</v>
      </c>
      <c r="G49" s="3">
        <f>'CARGO 2.'!$C49*'CARGO 2.'!$D49</f>
        <v>0</v>
      </c>
      <c r="H49" s="25">
        <f>'CARGO 2.'!$G49+H48</f>
        <v>1109889</v>
      </c>
      <c r="I49" s="3">
        <v>0</v>
      </c>
      <c r="J49" s="3">
        <f>J48+'CARGO 2.'!$I49</f>
        <v>1089092</v>
      </c>
      <c r="K49" s="42">
        <f>K48+G49-I49-'CARGO 2.'!$E49-'CARGO 2.'!$L49</f>
        <v>0</v>
      </c>
      <c r="L49" s="96">
        <v>0</v>
      </c>
      <c r="M49" s="95">
        <f>'CARGO 2.'!$G49-'CARGO 2.'!$F49-'CARGO 2.'!$E49</f>
        <v>0</v>
      </c>
      <c r="N49" s="95">
        <f>'CARGO 2.'!$M49+N48</f>
        <v>84192.5</v>
      </c>
    </row>
    <row r="50" spans="1:14" ht="15">
      <c r="A50" s="39">
        <v>43481</v>
      </c>
      <c r="B50" s="31">
        <f>B49-C49</f>
        <v>1</v>
      </c>
      <c r="C50" s="3"/>
      <c r="D50" s="68">
        <v>111</v>
      </c>
      <c r="E50" s="3">
        <v>0</v>
      </c>
      <c r="F50" s="30">
        <f>'CARGO 2.'!$C50*100.5</f>
        <v>0</v>
      </c>
      <c r="G50" s="3"/>
      <c r="H50" s="25">
        <f>'CARGO 2.'!$G50+H49</f>
        <v>1109889</v>
      </c>
      <c r="I50" s="3">
        <v>0</v>
      </c>
      <c r="J50" s="3">
        <f>J49+'CARGO 2.'!$I50</f>
        <v>1089092</v>
      </c>
      <c r="K50" s="42">
        <f>K49+G50-I50-'CARGO 2.'!$E50-'CARGO 2.'!$L50</f>
        <v>0</v>
      </c>
      <c r="L50" s="96"/>
      <c r="M50" s="95">
        <f>'CARGO 2.'!$G50-'CARGO 2.'!$F50-'CARGO 2.'!$E50</f>
        <v>0</v>
      </c>
      <c r="N50" s="95">
        <f>'CARGO 2.'!$M50+N49</f>
        <v>84192.5</v>
      </c>
    </row>
    <row r="51" spans="1:14" ht="15">
      <c r="A51" s="39">
        <v>43482</v>
      </c>
      <c r="B51" s="31">
        <f>B50-C50</f>
        <v>1</v>
      </c>
      <c r="C51" s="3"/>
      <c r="D51" s="68">
        <v>111</v>
      </c>
      <c r="E51" s="3"/>
      <c r="F51" s="30">
        <f>'CARGO 2.'!$C51*100.5</f>
        <v>0</v>
      </c>
      <c r="G51" s="3"/>
      <c r="H51" s="25">
        <f>'CARGO 2.'!$G51+H50</f>
        <v>1109889</v>
      </c>
      <c r="I51" s="3"/>
      <c r="J51" s="3">
        <f>J50+'CARGO 2.'!$I51</f>
        <v>1089092</v>
      </c>
      <c r="K51" s="42">
        <f>K50+G51-I51-'CARGO 2.'!$E51-'CARGO 2.'!$L51</f>
        <v>0</v>
      </c>
      <c r="L51" s="96"/>
      <c r="M51" s="95">
        <f>'CARGO 2.'!$G51-'CARGO 2.'!$F51-'CARGO 2.'!$E51</f>
        <v>0</v>
      </c>
      <c r="N51" s="95">
        <f>'CARGO 2.'!$M51+N48</f>
        <v>84192.5</v>
      </c>
    </row>
    <row r="52" spans="1:14" ht="15">
      <c r="A52" s="15"/>
      <c r="B52" s="15"/>
      <c r="C52" s="15">
        <f>SUM(C31:C51)</f>
        <v>9999</v>
      </c>
      <c r="D52" s="15"/>
      <c r="E52" s="15">
        <f>SUM(E31:E51)</f>
        <v>16880</v>
      </c>
      <c r="F52" s="15">
        <f>SUM(F31:F51)</f>
        <v>1004899.5</v>
      </c>
      <c r="G52" s="15">
        <f>SUM(G31:G51)</f>
        <v>1109889</v>
      </c>
      <c r="H52" s="15">
        <f>H51</f>
        <v>1109889</v>
      </c>
      <c r="I52" s="15">
        <f>SUM(I31:I51)</f>
        <v>1089092</v>
      </c>
      <c r="J52" s="15">
        <f>J51</f>
        <v>1089092</v>
      </c>
      <c r="K52" s="15">
        <f>K51</f>
        <v>0</v>
      </c>
      <c r="L52" s="15">
        <f>SUM(L31:L48)</f>
        <v>3917</v>
      </c>
      <c r="M52" s="15">
        <f>SUM(M31:M48)</f>
        <v>84192.5</v>
      </c>
      <c r="N52" s="95"/>
    </row>
    <row r="53" spans="1:14" ht="15">
      <c r="A53" s="39"/>
      <c r="B53" s="31"/>
      <c r="C53" s="48"/>
      <c r="D53" s="68"/>
      <c r="E53" s="48"/>
      <c r="F53" s="48">
        <f>'CARGO 2.'!$C53*105.5</f>
        <v>0</v>
      </c>
      <c r="G53" s="3"/>
      <c r="H53" s="48"/>
      <c r="I53" s="48"/>
      <c r="J53" s="3"/>
      <c r="K53" s="42"/>
      <c r="L53" s="96"/>
      <c r="M53" s="95"/>
      <c r="N53" s="95"/>
    </row>
    <row r="54" spans="1:14" ht="15">
      <c r="A54" s="60" t="s">
        <v>26</v>
      </c>
      <c r="B54" s="8"/>
      <c r="C54" s="8">
        <f>C24*20</f>
        <v>460</v>
      </c>
      <c r="D54" s="68"/>
      <c r="E54" s="8">
        <f>E24</f>
        <v>0</v>
      </c>
      <c r="F54" s="8">
        <v>0</v>
      </c>
      <c r="G54" s="8">
        <v>0</v>
      </c>
      <c r="H54" s="8">
        <f>G53+'CARGO 2.'!$G54</f>
        <v>0</v>
      </c>
      <c r="I54" s="8">
        <v>0</v>
      </c>
      <c r="J54" s="8"/>
      <c r="K54" s="61"/>
      <c r="L54" s="100"/>
      <c r="M54" s="107"/>
      <c r="N54" s="95">
        <f>'CARGO 2.'!$M54+N53</f>
        <v>0</v>
      </c>
    </row>
    <row r="55" spans="1:10" ht="15">
      <c r="A55" s="63"/>
      <c r="B55" s="64"/>
      <c r="C55" s="64"/>
      <c r="D55" s="64"/>
      <c r="E55" s="64"/>
      <c r="F55" s="64"/>
      <c r="G55" s="64"/>
      <c r="H55" s="64"/>
      <c r="I55" s="65"/>
      <c r="J55" s="65"/>
    </row>
    <row r="56" spans="2:10" ht="15">
      <c r="B56" s="62" t="s">
        <v>52</v>
      </c>
      <c r="C56" s="53">
        <f>B22*20</f>
        <v>140</v>
      </c>
      <c r="D56" s="12"/>
      <c r="E56" s="12"/>
      <c r="F56" s="12"/>
      <c r="G56" s="12"/>
      <c r="H56" s="20"/>
      <c r="I56" s="17"/>
      <c r="J56" s="55"/>
    </row>
    <row r="57" spans="2:10" ht="15">
      <c r="B57" s="12" t="s">
        <v>51</v>
      </c>
      <c r="C57" s="53">
        <f>C52-C54-C56</f>
        <v>9399</v>
      </c>
      <c r="D57" s="53"/>
      <c r="E57" s="5" t="s">
        <v>50</v>
      </c>
      <c r="F57" s="6"/>
      <c r="G57" s="110">
        <f>G52</f>
        <v>1109889</v>
      </c>
      <c r="H57" s="20"/>
      <c r="I57" s="17"/>
      <c r="J57" s="55"/>
    </row>
    <row r="58" spans="3:10" ht="15">
      <c r="C58" s="12"/>
      <c r="D58" s="53"/>
      <c r="E58" s="5" t="s">
        <v>53</v>
      </c>
      <c r="F58" s="110">
        <f>K52</f>
        <v>0</v>
      </c>
      <c r="G58" s="110"/>
      <c r="H58" s="20"/>
      <c r="I58" s="55"/>
      <c r="J58" s="55"/>
    </row>
    <row r="59" spans="1:9" s="12" customFormat="1" ht="15">
      <c r="A59" s="12" t="s">
        <v>60</v>
      </c>
      <c r="B59" s="12">
        <v>369184</v>
      </c>
      <c r="D59" s="53"/>
      <c r="E59" s="5" t="s">
        <v>144</v>
      </c>
      <c r="F59" s="110">
        <f>J52</f>
        <v>1089092</v>
      </c>
      <c r="G59" s="5"/>
      <c r="I59" s="53"/>
    </row>
    <row r="60" spans="4:7" ht="15">
      <c r="D60" s="12"/>
      <c r="E60" s="5" t="s">
        <v>145</v>
      </c>
      <c r="F60" s="110">
        <f>E52</f>
        <v>16880</v>
      </c>
      <c r="G60" s="6"/>
    </row>
    <row r="61" spans="4:7" ht="15">
      <c r="D61" s="12"/>
      <c r="E61" s="5" t="s">
        <v>146</v>
      </c>
      <c r="F61" s="110">
        <f>L52</f>
        <v>3917</v>
      </c>
      <c r="G61" s="111"/>
    </row>
    <row r="62" spans="3:7" ht="15">
      <c r="C62" s="20"/>
      <c r="D62" s="12"/>
      <c r="E62" s="112" t="s">
        <v>147</v>
      </c>
      <c r="F62" s="113">
        <f>SUM(F58:F61)</f>
        <v>1109889</v>
      </c>
      <c r="G62" s="112">
        <f>SUM(G57:G61)</f>
        <v>1109889</v>
      </c>
    </row>
    <row r="64" ht="15">
      <c r="F64" s="20"/>
    </row>
    <row r="65" ht="15">
      <c r="F65" s="20"/>
    </row>
    <row r="66" ht="15">
      <c r="F66" s="20"/>
    </row>
    <row r="69" ht="14.25" customHeight="1"/>
    <row r="244" ht="15">
      <c r="M244">
        <v>48</v>
      </c>
    </row>
  </sheetData>
  <sheetProtection/>
  <mergeCells count="2">
    <mergeCell ref="B2:H2"/>
    <mergeCell ref="B28:H28"/>
  </mergeCells>
  <printOptions/>
  <pageMargins left="0.7" right="0.7" top="0.75" bottom="0.75" header="0.3" footer="0.3"/>
  <pageSetup fitToHeight="1" fitToWidth="1" horizontalDpi="600" verticalDpi="600" orientation="landscape" scale="14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zoomScalePageLayoutView="0" workbookViewId="0" topLeftCell="A7">
      <selection activeCell="D30" sqref="D30"/>
    </sheetView>
  </sheetViews>
  <sheetFormatPr defaultColWidth="9.140625" defaultRowHeight="15"/>
  <cols>
    <col min="1" max="1" width="11.00390625" style="0" customWidth="1"/>
    <col min="2" max="2" width="9.140625" style="0" customWidth="1"/>
    <col min="3" max="3" width="9.00390625" style="0" customWidth="1"/>
    <col min="4" max="4" width="12.00390625" style="0" customWidth="1"/>
    <col min="5" max="5" width="18.421875" style="0" customWidth="1"/>
    <col min="6" max="6" width="16.8515625" style="0" customWidth="1"/>
    <col min="7" max="7" width="13.421875" style="0" customWidth="1"/>
    <col min="8" max="8" width="16.7109375" style="0" customWidth="1"/>
    <col min="9" max="9" width="13.140625" style="0" customWidth="1"/>
    <col min="10" max="10" width="16.140625" style="0" customWidth="1"/>
    <col min="11" max="11" width="15.00390625" style="0" customWidth="1"/>
    <col min="12" max="12" width="13.28125" style="0" customWidth="1"/>
    <col min="13" max="13" width="12.28125" style="0" customWidth="1"/>
    <col min="14" max="14" width="19.140625" style="0" customWidth="1"/>
  </cols>
  <sheetData>
    <row r="1" spans="2:8" ht="18.75">
      <c r="B1" s="142" t="s">
        <v>73</v>
      </c>
      <c r="C1" s="142"/>
      <c r="D1" s="142"/>
      <c r="E1" s="142"/>
      <c r="F1" s="142"/>
      <c r="G1" s="142"/>
      <c r="H1" s="142"/>
    </row>
    <row r="2" spans="1:14" ht="15">
      <c r="A2" s="44" t="s">
        <v>0</v>
      </c>
      <c r="B2" s="45" t="s">
        <v>69</v>
      </c>
      <c r="C2" s="45" t="s">
        <v>70</v>
      </c>
      <c r="D2" s="45" t="s">
        <v>71</v>
      </c>
      <c r="E2" s="45" t="s">
        <v>140</v>
      </c>
      <c r="F2" s="45" t="s">
        <v>141</v>
      </c>
      <c r="G2" s="45" t="s">
        <v>138</v>
      </c>
      <c r="H2" s="45" t="s">
        <v>139</v>
      </c>
      <c r="I2" s="45" t="s">
        <v>3</v>
      </c>
      <c r="J2" s="45" t="s">
        <v>143</v>
      </c>
      <c r="K2" s="46" t="s">
        <v>8</v>
      </c>
      <c r="L2" s="98" t="s">
        <v>127</v>
      </c>
      <c r="M2" s="108" t="s">
        <v>137</v>
      </c>
      <c r="N2" s="109" t="s">
        <v>142</v>
      </c>
    </row>
    <row r="3" spans="1:14" ht="15">
      <c r="A3" s="56"/>
      <c r="B3" s="106">
        <v>10000</v>
      </c>
      <c r="C3" s="28"/>
      <c r="D3" s="28">
        <v>100.5</v>
      </c>
      <c r="E3" s="50">
        <v>0</v>
      </c>
      <c r="F3" s="50">
        <f>'CARGO 3.'!$B3*'CARGO 3.'!$D3</f>
        <v>1005000</v>
      </c>
      <c r="G3" s="50"/>
      <c r="H3" s="50">
        <v>0</v>
      </c>
      <c r="I3" s="50"/>
      <c r="J3" s="50">
        <v>0</v>
      </c>
      <c r="K3" s="51">
        <f>'CARGO 3.'!$J3-'CARGO 3.'!$I3</f>
        <v>0</v>
      </c>
      <c r="L3" s="99"/>
      <c r="M3" s="97">
        <v>0</v>
      </c>
      <c r="N3" s="95">
        <v>0</v>
      </c>
    </row>
    <row r="4" spans="1:14" ht="15">
      <c r="A4" s="39">
        <v>43471</v>
      </c>
      <c r="B4" s="3">
        <v>10000</v>
      </c>
      <c r="C4" s="3">
        <v>1011</v>
      </c>
      <c r="D4" s="68">
        <v>111</v>
      </c>
      <c r="E4" s="3">
        <f>500+200</f>
        <v>700</v>
      </c>
      <c r="F4" s="3">
        <f>'CARGO 3.'!$C4*100.5</f>
        <v>101605.5</v>
      </c>
      <c r="G4" s="3">
        <f>'CARGO 3.'!$C4*'CARGO 3.'!$D4</f>
        <v>112221</v>
      </c>
      <c r="H4" s="3">
        <f>'CARGO 3.'!$G4</f>
        <v>112221</v>
      </c>
      <c r="I4" s="31">
        <v>0</v>
      </c>
      <c r="J4" s="3">
        <f>'CARGO 3.'!$I4</f>
        <v>0</v>
      </c>
      <c r="K4" s="42">
        <f>'CARGO 3.'!$G4-'CARGO 3.'!$E4-L4-'CARGO 3.'!$I4</f>
        <v>111521</v>
      </c>
      <c r="L4" s="96">
        <v>0</v>
      </c>
      <c r="M4" s="97">
        <f>'CARGO 3.'!$G4-'CARGO 3.'!$F4-'CARGO 3.'!$E4-'CARGO 3.'!$L4</f>
        <v>9915.5</v>
      </c>
      <c r="N4" s="95">
        <f>'CARGO 3.'!$M4+N3</f>
        <v>9915.5</v>
      </c>
    </row>
    <row r="5" spans="1:14" ht="15">
      <c r="A5" s="39">
        <v>43472</v>
      </c>
      <c r="B5" s="3">
        <f aca="true" t="shared" si="0" ref="B5:B16">B4-C4</f>
        <v>8989</v>
      </c>
      <c r="C5" s="25">
        <v>1248</v>
      </c>
      <c r="D5" s="68">
        <v>111</v>
      </c>
      <c r="E5" s="30">
        <v>500</v>
      </c>
      <c r="F5" s="30">
        <f>'CARGO 3.'!$C5*100.5</f>
        <v>125424</v>
      </c>
      <c r="G5" s="3">
        <f>'CARGO 3.'!$C5*'CARGO 3.'!$D5</f>
        <v>138528</v>
      </c>
      <c r="H5" s="25">
        <f>'CARGO 3.'!$G5+H4</f>
        <v>250749</v>
      </c>
      <c r="I5" s="30">
        <f>70000+30000+33841+10000</f>
        <v>143841</v>
      </c>
      <c r="J5" s="3">
        <f>J4+'CARGO 3.'!$I5</f>
        <v>143841</v>
      </c>
      <c r="K5" s="42">
        <f>K4+G5-I5-'CARGO 3.'!$E5-'CARGO 3.'!$L5</f>
        <v>105092</v>
      </c>
      <c r="L5" s="96">
        <f>210+150+169+87</f>
        <v>616</v>
      </c>
      <c r="M5" s="97">
        <f>'CARGO 3.'!$G5-'CARGO 3.'!$F5-'CARGO 3.'!$E5-'CARGO 3.'!$L5</f>
        <v>11988</v>
      </c>
      <c r="N5" s="95">
        <f>'CARGO 3.'!$M5+N4</f>
        <v>21903.5</v>
      </c>
    </row>
    <row r="6" spans="1:14" ht="15">
      <c r="A6" s="39">
        <v>43473</v>
      </c>
      <c r="B6" s="31">
        <f t="shared" si="0"/>
        <v>7741</v>
      </c>
      <c r="C6" s="3">
        <v>503</v>
      </c>
      <c r="D6" s="68">
        <v>111</v>
      </c>
      <c r="E6" s="3">
        <f>350+2068+11500+1400+6000</f>
        <v>21318</v>
      </c>
      <c r="F6" s="30">
        <f>'CARGO 3.'!$C6*100.5</f>
        <v>50551.5</v>
      </c>
      <c r="G6" s="3">
        <f>'CARGO 3.'!$C6*'CARGO 3.'!$D6</f>
        <v>55833</v>
      </c>
      <c r="H6" s="25">
        <f>'CARGO 3.'!$G6+H5</f>
        <v>306582</v>
      </c>
      <c r="I6" s="3">
        <f>33300+18000</f>
        <v>51300</v>
      </c>
      <c r="J6" s="3">
        <f>J5+'CARGO 3.'!$I6</f>
        <v>195141</v>
      </c>
      <c r="K6" s="42">
        <f>K5+G6-I6-'CARGO 3.'!$E6-'CARGO 3.'!$L6</f>
        <v>87953</v>
      </c>
      <c r="L6" s="96">
        <f>150+102+102</f>
        <v>354</v>
      </c>
      <c r="M6" s="97">
        <f>'CARGO 3.'!$G6-'CARGO 3.'!$F6-'CARGO 3.'!$E6-'CARGO 3.'!$L6</f>
        <v>-16390.5</v>
      </c>
      <c r="N6" s="95">
        <f>'CARGO 3.'!$M6+N5</f>
        <v>5513</v>
      </c>
    </row>
    <row r="7" spans="1:14" ht="15">
      <c r="A7" s="39">
        <v>43474</v>
      </c>
      <c r="B7" s="31">
        <f t="shared" si="0"/>
        <v>7238</v>
      </c>
      <c r="C7" s="3">
        <v>662</v>
      </c>
      <c r="D7" s="68">
        <v>111</v>
      </c>
      <c r="E7" s="3">
        <f>650</f>
        <v>650</v>
      </c>
      <c r="F7" s="30">
        <f>'CARGO 3.'!$C7*100.5</f>
        <v>66531</v>
      </c>
      <c r="G7" s="3">
        <f>'CARGO 3.'!$C7*'CARGO 3.'!$D7</f>
        <v>73482</v>
      </c>
      <c r="H7" s="25">
        <f>'CARGO 3.'!$G7+H6</f>
        <v>380064</v>
      </c>
      <c r="I7" s="3">
        <v>0</v>
      </c>
      <c r="J7" s="3">
        <f>J6+'CARGO 3.'!$I7</f>
        <v>195141</v>
      </c>
      <c r="K7" s="42">
        <f>K6+G7-I7-'CARGO 3.'!$E7-'CARGO 3.'!$L7</f>
        <v>160785</v>
      </c>
      <c r="L7" s="96">
        <v>0</v>
      </c>
      <c r="M7" s="97">
        <f>'CARGO 3.'!$G7-'CARGO 3.'!$F7-'CARGO 3.'!$E7-'CARGO 3.'!$L7</f>
        <v>6301</v>
      </c>
      <c r="N7" s="95">
        <f>'CARGO 3.'!$M7+N6</f>
        <v>11814</v>
      </c>
    </row>
    <row r="8" spans="1:14" ht="15">
      <c r="A8" s="39">
        <v>43475</v>
      </c>
      <c r="B8" s="31">
        <f t="shared" si="0"/>
        <v>6576</v>
      </c>
      <c r="C8" s="3">
        <v>1084</v>
      </c>
      <c r="D8" s="68">
        <v>111</v>
      </c>
      <c r="E8" s="3">
        <f>2000+700+1000</f>
        <v>3700</v>
      </c>
      <c r="F8" s="30">
        <f>'CARGO 3.'!$C8*100.5</f>
        <v>108942</v>
      </c>
      <c r="G8" s="3">
        <f>'CARGO 3.'!$C8*'CARGO 3.'!$D8</f>
        <v>120324</v>
      </c>
      <c r="H8" s="25">
        <f>'CARGO 3.'!$G8+H7</f>
        <v>500388</v>
      </c>
      <c r="I8" s="3">
        <f>70000</f>
        <v>70000</v>
      </c>
      <c r="J8" s="3">
        <f>J7+'CARGO 3.'!$I8</f>
        <v>265141</v>
      </c>
      <c r="K8" s="42">
        <f>K7+G8-I8-'CARGO 3.'!$E8-'CARGO 3.'!$L8</f>
        <v>207199</v>
      </c>
      <c r="L8" s="96">
        <f>210</f>
        <v>210</v>
      </c>
      <c r="M8" s="97">
        <f>'CARGO 3.'!$G8-'CARGO 3.'!$F8-'CARGO 3.'!$E8-'CARGO 3.'!$L8</f>
        <v>7472</v>
      </c>
      <c r="N8" s="95">
        <f>'CARGO 3.'!$M8+N7</f>
        <v>19286</v>
      </c>
    </row>
    <row r="9" spans="1:14" ht="15">
      <c r="A9" s="39">
        <v>43476</v>
      </c>
      <c r="B9" s="31">
        <f t="shared" si="0"/>
        <v>5492</v>
      </c>
      <c r="C9" s="3">
        <v>842</v>
      </c>
      <c r="D9" s="68">
        <v>111</v>
      </c>
      <c r="E9" s="3">
        <f>900+850</f>
        <v>1750</v>
      </c>
      <c r="F9" s="30">
        <f>'CARGO 3.'!$C9*100.5</f>
        <v>84621</v>
      </c>
      <c r="G9" s="3">
        <f>'CARGO 3.'!$C9*'CARGO 3.'!$D9</f>
        <v>93462</v>
      </c>
      <c r="H9" s="25">
        <f>'CARGO 3.'!$G9+H8</f>
        <v>593850</v>
      </c>
      <c r="I9" s="3">
        <f>70000+30000+40000</f>
        <v>140000</v>
      </c>
      <c r="J9" s="3">
        <f>J8+'CARGO 3.'!$I9</f>
        <v>405141</v>
      </c>
      <c r="K9" s="42">
        <f>K8+G9-I9-'CARGO 3.'!$E9-'CARGO 3.'!$L9</f>
        <v>158336</v>
      </c>
      <c r="L9" s="96">
        <f>210+150+15+200</f>
        <v>575</v>
      </c>
      <c r="M9" s="97">
        <f>'CARGO 3.'!$G9-'CARGO 3.'!$F9-'CARGO 3.'!$E9-'CARGO 3.'!$L9</f>
        <v>6516</v>
      </c>
      <c r="N9" s="95">
        <f>'CARGO 3.'!$M9+N8</f>
        <v>25802</v>
      </c>
    </row>
    <row r="10" spans="1:14" ht="15">
      <c r="A10" s="39">
        <v>43477</v>
      </c>
      <c r="B10" s="31">
        <f t="shared" si="0"/>
        <v>4650</v>
      </c>
      <c r="C10" s="3">
        <v>1086</v>
      </c>
      <c r="D10" s="68">
        <v>111</v>
      </c>
      <c r="E10" s="3">
        <v>0</v>
      </c>
      <c r="F10" s="30">
        <f>'CARGO 3.'!$C10*100.5</f>
        <v>109143</v>
      </c>
      <c r="G10" s="3">
        <f>'CARGO 3.'!$C10*'CARGO 3.'!$D10</f>
        <v>120546</v>
      </c>
      <c r="H10" s="25">
        <f>'CARGO 3.'!$G10+H9</f>
        <v>714396</v>
      </c>
      <c r="I10" s="3">
        <f>65000+5500+14700</f>
        <v>85200</v>
      </c>
      <c r="J10" s="3">
        <f>J9+'CARGO 3.'!$I10</f>
        <v>490341</v>
      </c>
      <c r="K10" s="42">
        <f>K9+G10-I10-'CARGO 3.'!$E10-'CARGO 3.'!$L10</f>
        <v>193382</v>
      </c>
      <c r="L10" s="96">
        <f>210+23+67</f>
        <v>300</v>
      </c>
      <c r="M10" s="97">
        <f>'CARGO 3.'!$G10-'CARGO 3.'!$F10-'CARGO 3.'!$E10-'CARGO 3.'!$L10</f>
        <v>11103</v>
      </c>
      <c r="N10" s="95">
        <f>'CARGO 3.'!$M10+N9</f>
        <v>36905</v>
      </c>
    </row>
    <row r="11" spans="1:14" ht="15">
      <c r="A11" s="39">
        <v>43478</v>
      </c>
      <c r="B11" s="31">
        <f t="shared" si="0"/>
        <v>3564</v>
      </c>
      <c r="C11" s="3">
        <v>513</v>
      </c>
      <c r="D11" s="68">
        <v>111</v>
      </c>
      <c r="E11" s="3">
        <f>4000</f>
        <v>4000</v>
      </c>
      <c r="F11" s="30">
        <f>'CARGO 3.'!$C11*100.5</f>
        <v>51556.5</v>
      </c>
      <c r="G11" s="3">
        <f>'CARGO 3.'!$C11*'CARGO 3.'!$D11</f>
        <v>56943</v>
      </c>
      <c r="H11" s="25">
        <f>'CARGO 3.'!$G11+H10</f>
        <v>771339</v>
      </c>
      <c r="I11" s="3">
        <f>70000+53800</f>
        <v>123800</v>
      </c>
      <c r="J11" s="3">
        <f>J10+'CARGO 3.'!$I11</f>
        <v>614141</v>
      </c>
      <c r="K11" s="42">
        <f>K10+G11-I11-'CARGO 3.'!$E11-'CARGO 3.'!$L11</f>
        <v>122105</v>
      </c>
      <c r="L11" s="96">
        <f>210+210</f>
        <v>420</v>
      </c>
      <c r="M11" s="97">
        <f>'CARGO 3.'!$G11-'CARGO 3.'!$F11-'CARGO 3.'!$E11-'CARGO 3.'!$L11</f>
        <v>966.5</v>
      </c>
      <c r="N11" s="95">
        <f>'CARGO 3.'!$M11+N10</f>
        <v>37871.5</v>
      </c>
    </row>
    <row r="12" spans="1:14" ht="15">
      <c r="A12" s="39">
        <v>43479</v>
      </c>
      <c r="B12" s="31">
        <f t="shared" si="0"/>
        <v>3051</v>
      </c>
      <c r="C12" s="3">
        <v>797</v>
      </c>
      <c r="D12" s="68">
        <v>111</v>
      </c>
      <c r="E12" s="3">
        <f>800+200+700</f>
        <v>1700</v>
      </c>
      <c r="F12" s="30">
        <f>'CARGO 3.'!$C12*100.5</f>
        <v>80098.5</v>
      </c>
      <c r="G12" s="3">
        <f>'CARGO 3.'!$C12*'CARGO 3.'!$D12</f>
        <v>88467</v>
      </c>
      <c r="H12" s="25">
        <f>'CARGO 3.'!$G12+H11</f>
        <v>859806</v>
      </c>
      <c r="I12" s="3">
        <f>45000+300</f>
        <v>45300</v>
      </c>
      <c r="J12" s="3">
        <f>J11+'CARGO 3.'!$I12</f>
        <v>659441</v>
      </c>
      <c r="K12" s="42">
        <f>K11+G12-I12-'CARGO 3.'!$E12-'CARGO 3.'!$L12</f>
        <v>163392</v>
      </c>
      <c r="L12" s="96">
        <f>180</f>
        <v>180</v>
      </c>
      <c r="M12" s="97">
        <f>'CARGO 3.'!$G12-'CARGO 3.'!$F12-'CARGO 3.'!$E12-'CARGO 3.'!$L12</f>
        <v>6488.5</v>
      </c>
      <c r="N12" s="95">
        <f>'CARGO 3.'!$M12+N11</f>
        <v>44360</v>
      </c>
    </row>
    <row r="13" spans="1:14" ht="15">
      <c r="A13" s="39">
        <v>43480</v>
      </c>
      <c r="B13" s="31">
        <f t="shared" si="0"/>
        <v>2254</v>
      </c>
      <c r="C13" s="3">
        <v>672</v>
      </c>
      <c r="D13" s="68">
        <v>111</v>
      </c>
      <c r="E13" s="3">
        <f>500+260+300+700+500</f>
        <v>2260</v>
      </c>
      <c r="F13" s="30">
        <f>'CARGO 3.'!$C13*100.5</f>
        <v>67536</v>
      </c>
      <c r="G13" s="3">
        <f>'CARGO 3.'!$C13*'CARGO 3.'!$D13</f>
        <v>74592</v>
      </c>
      <c r="H13" s="25">
        <f>'CARGO 3.'!$G13+H12</f>
        <v>934398</v>
      </c>
      <c r="I13" s="3">
        <f>30000+70000+3000+21333+20000+30000+2000+1000</f>
        <v>177333</v>
      </c>
      <c r="J13" s="3">
        <f>J12+'CARGO 3.'!$I13</f>
        <v>836774</v>
      </c>
      <c r="K13" s="42">
        <f>K12+G13-I13-'CARGO 3.'!$E13-'CARGO 3.'!$L13</f>
        <v>57783</v>
      </c>
      <c r="L13" s="96">
        <f>210+150+102+105+41</f>
        <v>608</v>
      </c>
      <c r="M13" s="97">
        <f>'CARGO 3.'!$G13-'CARGO 3.'!$F13-'CARGO 3.'!$E13-'CARGO 3.'!$L13</f>
        <v>4188</v>
      </c>
      <c r="N13" s="95">
        <f>'CARGO 3.'!$M13+N12</f>
        <v>48548</v>
      </c>
    </row>
    <row r="14" spans="1:14" ht="15">
      <c r="A14" s="39">
        <v>43481</v>
      </c>
      <c r="B14" s="31">
        <f t="shared" si="0"/>
        <v>1582</v>
      </c>
      <c r="C14" s="3">
        <v>756</v>
      </c>
      <c r="D14" s="68">
        <v>102</v>
      </c>
      <c r="E14" s="3">
        <f>500+200</f>
        <v>700</v>
      </c>
      <c r="F14" s="30">
        <f>'CARGO 3.'!$C14*100.5</f>
        <v>75978</v>
      </c>
      <c r="G14" s="3">
        <f>'CARGO 3.'!$C14*'CARGO 3.'!$D14</f>
        <v>77112</v>
      </c>
      <c r="H14" s="25">
        <f>'CARGO 3.'!$G14+H13</f>
        <v>1011510</v>
      </c>
      <c r="I14" s="3">
        <f>12000</f>
        <v>12000</v>
      </c>
      <c r="J14" s="3">
        <f>J13+'CARGO 3.'!$I14</f>
        <v>848774</v>
      </c>
      <c r="K14" s="42">
        <f>K13+G14-I14-'CARGO 3.'!$E14-'CARGO 3.'!$L14</f>
        <v>122140</v>
      </c>
      <c r="L14" s="96">
        <f>55</f>
        <v>55</v>
      </c>
      <c r="M14" s="97">
        <f>'CARGO 3.'!$G14-'CARGO 3.'!$F14-'CARGO 3.'!$E14-'CARGO 3.'!$L14</f>
        <v>379</v>
      </c>
      <c r="N14" s="95">
        <f>'CARGO 3.'!$M14+N13</f>
        <v>48927</v>
      </c>
    </row>
    <row r="15" spans="1:14" ht="15">
      <c r="A15" s="39">
        <v>43482</v>
      </c>
      <c r="B15" s="31">
        <f t="shared" si="0"/>
        <v>826</v>
      </c>
      <c r="C15" s="3">
        <v>541</v>
      </c>
      <c r="D15" s="68">
        <v>102</v>
      </c>
      <c r="E15" s="3">
        <v>200</v>
      </c>
      <c r="F15" s="30">
        <f>'CARGO 3.'!$C15*100.5</f>
        <v>54370.5</v>
      </c>
      <c r="G15" s="3">
        <f>'CARGO 3.'!$C15*'CARGO 3.'!$D15</f>
        <v>55182</v>
      </c>
      <c r="H15" s="25">
        <f>'CARGO 3.'!$G15+H14</f>
        <v>1066692</v>
      </c>
      <c r="I15" s="3">
        <f>70000+2700</f>
        <v>72700</v>
      </c>
      <c r="J15" s="3">
        <f>J14+'CARGO 3.'!$I15</f>
        <v>921474</v>
      </c>
      <c r="K15" s="42">
        <f>K14+G15-I15-'CARGO 3.'!$E15-'CARGO 3.'!$L15</f>
        <v>104212</v>
      </c>
      <c r="L15" s="96">
        <f>210</f>
        <v>210</v>
      </c>
      <c r="M15" s="97">
        <f>'CARGO 3.'!$G15-'CARGO 3.'!$F15-'CARGO 3.'!$E15-'CARGO 3.'!$L15</f>
        <v>401.5</v>
      </c>
      <c r="N15" s="95">
        <f>'CARGO 3.'!$M15+N14</f>
        <v>49328.5</v>
      </c>
    </row>
    <row r="16" spans="1:14" ht="15">
      <c r="A16" s="39">
        <v>43483</v>
      </c>
      <c r="B16" s="31">
        <f t="shared" si="0"/>
        <v>285</v>
      </c>
      <c r="C16" s="3">
        <v>285</v>
      </c>
      <c r="D16" s="68">
        <v>102</v>
      </c>
      <c r="E16" s="3">
        <f>700+1027+1000</f>
        <v>2727</v>
      </c>
      <c r="F16" s="30">
        <f>'CARGO 3.'!$C16*100.5</f>
        <v>28642.5</v>
      </c>
      <c r="G16" s="3">
        <f>'CARGO 3.'!$C16*'CARGO 3.'!$D16</f>
        <v>29070</v>
      </c>
      <c r="H16" s="25">
        <f>'CARGO 3.'!$G16+H15</f>
        <v>1095762</v>
      </c>
      <c r="I16" s="3">
        <f>52620+60000+12933</f>
        <v>125553</v>
      </c>
      <c r="J16" s="3">
        <f>J15+'CARGO 3.'!$I16</f>
        <v>1047027</v>
      </c>
      <c r="K16" s="42">
        <f>K15+G16-I16-'CARGO 3.'!$E16-'CARGO 3.'!$L16</f>
        <v>4474</v>
      </c>
      <c r="L16" s="96">
        <f>210+210+67+15+26</f>
        <v>528</v>
      </c>
      <c r="M16" s="97">
        <f>'CARGO 3.'!$G16-'CARGO 3.'!$F16-'CARGO 3.'!$E16-'CARGO 3.'!$L16</f>
        <v>-2827.5</v>
      </c>
      <c r="N16" s="95">
        <f>'CARGO 3.'!$M16+N15</f>
        <v>46501</v>
      </c>
    </row>
    <row r="17" spans="1:14" ht="15">
      <c r="A17" s="39">
        <v>43491</v>
      </c>
      <c r="B17" s="31">
        <v>0</v>
      </c>
      <c r="C17" s="3">
        <v>0</v>
      </c>
      <c r="D17" s="68">
        <v>102</v>
      </c>
      <c r="E17" s="3">
        <v>0</v>
      </c>
      <c r="F17" s="30">
        <f>'CARGO 3.'!$C17*100.5</f>
        <v>0</v>
      </c>
      <c r="G17" s="3"/>
      <c r="H17" s="25">
        <f>'CARGO 3.'!$G17+H16</f>
        <v>1095762</v>
      </c>
      <c r="I17" s="3"/>
      <c r="J17" s="3">
        <f>J16+'CARGO 3.'!$I17</f>
        <v>1047027</v>
      </c>
      <c r="K17" s="42">
        <f>K16+G17-I17-'CARGO 3.'!$E17-'CARGO 3.'!$L17</f>
        <v>4474</v>
      </c>
      <c r="L17" s="96"/>
      <c r="M17" s="95">
        <f>'CARGO 3.'!$G17-'CARGO 3.'!$F17-'CARGO 3.'!$E17</f>
        <v>0</v>
      </c>
      <c r="N17" s="95">
        <f>'CARGO 3.'!$M17+N16</f>
        <v>46501</v>
      </c>
    </row>
    <row r="18" spans="1:14" ht="15">
      <c r="A18" s="15"/>
      <c r="B18" s="15"/>
      <c r="C18" s="15">
        <f>SUM(C4:C17)</f>
        <v>10000</v>
      </c>
      <c r="D18" s="15"/>
      <c r="E18" s="15">
        <f>SUM(E4:E17)</f>
        <v>40205</v>
      </c>
      <c r="F18" s="15">
        <f>SUM(F4:F17)</f>
        <v>1005000</v>
      </c>
      <c r="G18" s="15">
        <f>SUM(G4:G17)</f>
        <v>1095762</v>
      </c>
      <c r="H18" s="15">
        <f>H17</f>
        <v>1095762</v>
      </c>
      <c r="I18" s="15">
        <f>SUM(I4:I17)</f>
        <v>1047027</v>
      </c>
      <c r="J18" s="15">
        <f>J17</f>
        <v>1047027</v>
      </c>
      <c r="K18" s="15">
        <f>K17</f>
        <v>4474</v>
      </c>
      <c r="L18" s="15">
        <f>SUM(L4:L16)</f>
        <v>4056</v>
      </c>
      <c r="M18" s="15">
        <f>SUM(M4:M16)</f>
        <v>46501</v>
      </c>
      <c r="N18" s="95"/>
    </row>
    <row r="19" spans="1:14" ht="15">
      <c r="A19" s="39"/>
      <c r="B19" s="31"/>
      <c r="C19" s="48"/>
      <c r="D19" s="68"/>
      <c r="E19" s="48"/>
      <c r="F19" s="48">
        <f>'CARGO 3.'!$C19*105.5</f>
        <v>0</v>
      </c>
      <c r="G19" s="3"/>
      <c r="H19" s="48"/>
      <c r="I19" s="48"/>
      <c r="J19" s="3"/>
      <c r="K19" s="42"/>
      <c r="L19" s="96"/>
      <c r="M19" s="95"/>
      <c r="N19" s="95"/>
    </row>
    <row r="20" spans="1:14" ht="15">
      <c r="A20" s="60" t="s">
        <v>26</v>
      </c>
      <c r="B20" s="8"/>
      <c r="C20" s="8"/>
      <c r="D20" s="68"/>
      <c r="E20" s="8"/>
      <c r="F20" s="8">
        <v>0</v>
      </c>
      <c r="G20" s="8">
        <v>0</v>
      </c>
      <c r="H20" s="8">
        <f>G19+'CARGO 3.'!$G20</f>
        <v>0</v>
      </c>
      <c r="I20" s="8">
        <v>0</v>
      </c>
      <c r="J20" s="8"/>
      <c r="K20" s="61"/>
      <c r="L20" s="100"/>
      <c r="M20" s="107"/>
      <c r="N20" s="95">
        <f>'CARGO 3.'!$M20+N19</f>
        <v>0</v>
      </c>
    </row>
    <row r="21" spans="1:10" ht="15">
      <c r="A21" s="63"/>
      <c r="B21" s="64"/>
      <c r="C21" s="64"/>
      <c r="D21" s="64"/>
      <c r="E21" s="64"/>
      <c r="F21" s="64"/>
      <c r="G21" s="64"/>
      <c r="H21" s="64"/>
      <c r="I21" s="65"/>
      <c r="J21" s="65"/>
    </row>
    <row r="22" spans="2:10" ht="15">
      <c r="B22" s="62" t="s">
        <v>52</v>
      </c>
      <c r="C22" s="53"/>
      <c r="D22" s="12"/>
      <c r="E22" s="12"/>
      <c r="F22" s="12"/>
      <c r="G22" s="12"/>
      <c r="H22" s="20"/>
      <c r="I22" s="17"/>
      <c r="J22" s="55"/>
    </row>
    <row r="23" spans="2:10" ht="15">
      <c r="B23" s="12" t="s">
        <v>51</v>
      </c>
      <c r="C23" s="53">
        <f>C18-C20-C22</f>
        <v>10000</v>
      </c>
      <c r="D23" s="53"/>
      <c r="E23" s="5" t="s">
        <v>50</v>
      </c>
      <c r="F23" s="6"/>
      <c r="G23" s="110">
        <f>G18</f>
        <v>1095762</v>
      </c>
      <c r="H23" s="20"/>
      <c r="I23" s="17"/>
      <c r="J23" s="55"/>
    </row>
    <row r="24" spans="3:10" ht="15">
      <c r="C24" s="12"/>
      <c r="D24" s="53"/>
      <c r="E24" s="5" t="s">
        <v>53</v>
      </c>
      <c r="F24" s="110">
        <f>K18</f>
        <v>4474</v>
      </c>
      <c r="G24" s="110"/>
      <c r="H24" s="20"/>
      <c r="I24" s="55"/>
      <c r="J24" s="55"/>
    </row>
    <row r="25" spans="1:9" s="12" customFormat="1" ht="15">
      <c r="A25" s="12" t="s">
        <v>60</v>
      </c>
      <c r="B25" s="12">
        <v>369184</v>
      </c>
      <c r="D25" s="53"/>
      <c r="E25" s="5" t="s">
        <v>144</v>
      </c>
      <c r="F25" s="110">
        <f>J18</f>
        <v>1047027</v>
      </c>
      <c r="G25" s="5"/>
      <c r="I25" s="53"/>
    </row>
    <row r="26" spans="4:7" ht="15">
      <c r="D26" s="12"/>
      <c r="E26" s="5" t="s">
        <v>145</v>
      </c>
      <c r="F26" s="110">
        <f>E18</f>
        <v>40205</v>
      </c>
      <c r="G26" s="6"/>
    </row>
    <row r="27" spans="4:7" ht="15">
      <c r="D27" s="12"/>
      <c r="E27" s="5" t="s">
        <v>146</v>
      </c>
      <c r="F27" s="110">
        <f>L18</f>
        <v>4056</v>
      </c>
      <c r="G27" s="111"/>
    </row>
    <row r="28" spans="3:8" ht="15">
      <c r="C28" s="20"/>
      <c r="D28" s="12"/>
      <c r="E28" s="112" t="s">
        <v>147</v>
      </c>
      <c r="F28" s="113">
        <f>SUM(F24:F27)</f>
        <v>1095762</v>
      </c>
      <c r="G28" s="112">
        <f>SUM(G23:G27)</f>
        <v>1095762</v>
      </c>
      <c r="H28" s="20"/>
    </row>
    <row r="30" ht="15">
      <c r="F30" s="20"/>
    </row>
    <row r="32" ht="15">
      <c r="F32" s="20"/>
    </row>
    <row r="210" ht="15">
      <c r="M210">
        <v>48</v>
      </c>
    </row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landscape" scale="16" r:id="rId2"/>
  <ignoredErrors>
    <ignoredError sqref="I18" 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zoomScalePageLayoutView="0" workbookViewId="0" topLeftCell="F19">
      <selection activeCell="F35" sqref="F35"/>
    </sheetView>
  </sheetViews>
  <sheetFormatPr defaultColWidth="9.140625" defaultRowHeight="15"/>
  <cols>
    <col min="1" max="1" width="11.00390625" style="0" customWidth="1"/>
    <col min="2" max="2" width="9.140625" style="0" customWidth="1"/>
    <col min="3" max="3" width="9.00390625" style="0" customWidth="1"/>
    <col min="4" max="4" width="12.00390625" style="0" customWidth="1"/>
    <col min="5" max="5" width="18.421875" style="0" customWidth="1"/>
    <col min="6" max="6" width="16.8515625" style="0" customWidth="1"/>
    <col min="7" max="7" width="13.421875" style="0" customWidth="1"/>
    <col min="8" max="8" width="16.7109375" style="0" customWidth="1"/>
    <col min="9" max="9" width="13.140625" style="0" customWidth="1"/>
    <col min="10" max="10" width="16.140625" style="0" customWidth="1"/>
    <col min="11" max="11" width="15.00390625" style="0" customWidth="1"/>
    <col min="12" max="12" width="13.28125" style="0" customWidth="1"/>
    <col min="13" max="13" width="12.28125" style="0" customWidth="1"/>
    <col min="14" max="14" width="19.140625" style="0" customWidth="1"/>
  </cols>
  <sheetData>
    <row r="1" spans="2:8" ht="18.75">
      <c r="B1" s="142" t="s">
        <v>73</v>
      </c>
      <c r="C1" s="142"/>
      <c r="D1" s="142"/>
      <c r="E1" s="142"/>
      <c r="F1" s="142"/>
      <c r="G1" s="142"/>
      <c r="H1" s="142"/>
    </row>
    <row r="2" spans="1:14" ht="15">
      <c r="A2" s="44" t="s">
        <v>0</v>
      </c>
      <c r="B2" s="45" t="s">
        <v>69</v>
      </c>
      <c r="C2" s="45" t="s">
        <v>70</v>
      </c>
      <c r="D2" s="45" t="s">
        <v>71</v>
      </c>
      <c r="E2" s="45" t="s">
        <v>140</v>
      </c>
      <c r="F2" s="45" t="s">
        <v>141</v>
      </c>
      <c r="G2" s="45" t="s">
        <v>138</v>
      </c>
      <c r="H2" s="45" t="s">
        <v>139</v>
      </c>
      <c r="I2" s="45" t="s">
        <v>3</v>
      </c>
      <c r="J2" s="45" t="s">
        <v>143</v>
      </c>
      <c r="K2" s="46" t="s">
        <v>8</v>
      </c>
      <c r="L2" s="98" t="s">
        <v>127</v>
      </c>
      <c r="M2" s="108" t="s">
        <v>137</v>
      </c>
      <c r="N2" s="109" t="s">
        <v>142</v>
      </c>
    </row>
    <row r="3" spans="1:14" ht="15">
      <c r="A3" s="56"/>
      <c r="B3" s="106">
        <v>10000</v>
      </c>
      <c r="C3" s="28"/>
      <c r="D3" s="28">
        <v>95</v>
      </c>
      <c r="E3" s="50">
        <v>0</v>
      </c>
      <c r="F3" s="50">
        <f>'CARGO 4.'!$B3*'CARGO 4.'!$D3</f>
        <v>950000</v>
      </c>
      <c r="G3" s="50"/>
      <c r="H3" s="50">
        <v>0</v>
      </c>
      <c r="I3" s="50"/>
      <c r="J3" s="50">
        <v>0</v>
      </c>
      <c r="K3" s="51">
        <f>'CARGO 4.'!$J3-'CARGO 4.'!$I3</f>
        <v>0</v>
      </c>
      <c r="L3" s="99"/>
      <c r="M3" s="97">
        <v>0</v>
      </c>
      <c r="N3" s="95">
        <v>0</v>
      </c>
    </row>
    <row r="4" spans="1:14" ht="15">
      <c r="A4" s="39">
        <v>43490</v>
      </c>
      <c r="B4" s="3">
        <v>10000</v>
      </c>
      <c r="C4" s="3">
        <v>1212</v>
      </c>
      <c r="D4" s="68">
        <v>102</v>
      </c>
      <c r="E4" s="3">
        <f>450+200</f>
        <v>650</v>
      </c>
      <c r="F4" s="3">
        <f>'CARGO 4.'!$C4*95</f>
        <v>115140</v>
      </c>
      <c r="G4" s="3">
        <f>'CARGO 4.'!$C4*'CARGO 4.'!$D4</f>
        <v>123624</v>
      </c>
      <c r="H4" s="3">
        <f>'CARGO 4.'!$G4</f>
        <v>123624</v>
      </c>
      <c r="I4" s="31">
        <f>27154</f>
        <v>27154</v>
      </c>
      <c r="J4" s="3">
        <f>'CARGO 4.'!$I4</f>
        <v>27154</v>
      </c>
      <c r="K4" s="42">
        <f>'CARGO 4.'!$G4-'CARGO 4.'!$E4-L4-'CARGO 4.'!$I4</f>
        <v>95723</v>
      </c>
      <c r="L4" s="96">
        <f>97</f>
        <v>97</v>
      </c>
      <c r="M4" s="97">
        <f>'CARGO 4.'!$G4-'CARGO 4.'!$F4-'CARGO 4.'!$E4-'CARGO 4.'!$L4</f>
        <v>7737</v>
      </c>
      <c r="N4" s="95">
        <f>'CARGO 4.'!$M4+N3</f>
        <v>7737</v>
      </c>
    </row>
    <row r="5" spans="1:14" ht="15">
      <c r="A5" s="39">
        <v>43491</v>
      </c>
      <c r="B5" s="3">
        <f aca="true" t="shared" si="0" ref="B5:B21">B4-C4</f>
        <v>8788</v>
      </c>
      <c r="C5" s="25">
        <v>785</v>
      </c>
      <c r="D5" s="68">
        <v>102</v>
      </c>
      <c r="E5" s="30">
        <f>550</f>
        <v>550</v>
      </c>
      <c r="F5" s="3">
        <f>'CARGO 4.'!$C5*95</f>
        <v>74575</v>
      </c>
      <c r="G5" s="3">
        <f>'CARGO 4.'!$C5*'CARGO 4.'!$D5</f>
        <v>80070</v>
      </c>
      <c r="H5" s="25">
        <f>'CARGO 4.'!$G5+H4</f>
        <v>203694</v>
      </c>
      <c r="I5" s="30">
        <f>70000</f>
        <v>70000</v>
      </c>
      <c r="J5" s="3">
        <f>J4+'CARGO 4.'!$I5</f>
        <v>97154</v>
      </c>
      <c r="K5" s="42">
        <f>K4+G5-I5-'CARGO 4.'!$E5-'CARGO 4.'!$L5</f>
        <v>105033</v>
      </c>
      <c r="L5" s="96">
        <f>210</f>
        <v>210</v>
      </c>
      <c r="M5" s="97">
        <f>'CARGO 4.'!$G5-'CARGO 4.'!$F5-'CARGO 4.'!$E5-'CARGO 4.'!$L5</f>
        <v>4735</v>
      </c>
      <c r="N5" s="95">
        <f>'CARGO 4.'!$M5+N4</f>
        <v>12472</v>
      </c>
    </row>
    <row r="6" spans="1:14" ht="15">
      <c r="A6" s="39">
        <v>43492</v>
      </c>
      <c r="B6" s="31">
        <f t="shared" si="0"/>
        <v>8003</v>
      </c>
      <c r="C6" s="3">
        <v>496</v>
      </c>
      <c r="D6" s="68">
        <v>102</v>
      </c>
      <c r="E6" s="3">
        <f>500</f>
        <v>500</v>
      </c>
      <c r="F6" s="3">
        <f>'CARGO 4.'!$C6*95</f>
        <v>47120</v>
      </c>
      <c r="G6" s="3">
        <f>'CARGO 4.'!$C6*'CARGO 4.'!$D6</f>
        <v>50592</v>
      </c>
      <c r="H6" s="25">
        <f>'CARGO 4.'!$G6+H5</f>
        <v>254286</v>
      </c>
      <c r="I6" s="3">
        <v>70000</v>
      </c>
      <c r="J6" s="3">
        <f>J5+'CARGO 4.'!$I6</f>
        <v>167154</v>
      </c>
      <c r="K6" s="42">
        <f>K5+G6-I6-'CARGO 4.'!$E6-'CARGO 4.'!$L6</f>
        <v>84915</v>
      </c>
      <c r="L6" s="96">
        <f>210</f>
        <v>210</v>
      </c>
      <c r="M6" s="97">
        <f>'CARGO 4.'!$G6-'CARGO 4.'!$F6-'CARGO 4.'!$E6-'CARGO 4.'!$L6</f>
        <v>2762</v>
      </c>
      <c r="N6" s="95">
        <f>'CARGO 4.'!$M6+N5</f>
        <v>15234</v>
      </c>
    </row>
    <row r="7" spans="1:14" ht="15">
      <c r="A7" s="39">
        <v>43493</v>
      </c>
      <c r="B7" s="31">
        <f t="shared" si="0"/>
        <v>7507</v>
      </c>
      <c r="C7" s="3">
        <v>794</v>
      </c>
      <c r="D7" s="68">
        <v>102</v>
      </c>
      <c r="E7" s="3">
        <f>1000+200+1500</f>
        <v>2700</v>
      </c>
      <c r="F7" s="3">
        <f>'CARGO 4.'!$C7*95</f>
        <v>75430</v>
      </c>
      <c r="G7" s="3">
        <f>'CARGO 4.'!$C7*'CARGO 4.'!$D7</f>
        <v>80988</v>
      </c>
      <c r="H7" s="25">
        <f>'CARGO 4.'!$G7+H6</f>
        <v>335274</v>
      </c>
      <c r="I7" s="3">
        <f>50000</f>
        <v>50000</v>
      </c>
      <c r="J7" s="3">
        <f>J6+'CARGO 4.'!$I7</f>
        <v>217154</v>
      </c>
      <c r="K7" s="42">
        <f>K6+G7-I7-'CARGO 4.'!$E7-'CARGO 4.'!$L7</f>
        <v>112993</v>
      </c>
      <c r="L7" s="96">
        <f>105+105</f>
        <v>210</v>
      </c>
      <c r="M7" s="97">
        <f>'CARGO 4.'!$G7-'CARGO 4.'!$F7-'CARGO 4.'!$E7-'CARGO 4.'!$L7</f>
        <v>2648</v>
      </c>
      <c r="N7" s="95">
        <f>'CARGO 4.'!$M7+N6</f>
        <v>17882</v>
      </c>
    </row>
    <row r="8" spans="1:14" ht="15">
      <c r="A8" s="39">
        <v>43494</v>
      </c>
      <c r="B8" s="31">
        <f t="shared" si="0"/>
        <v>6713</v>
      </c>
      <c r="C8" s="3">
        <v>602</v>
      </c>
      <c r="D8" s="68">
        <v>102</v>
      </c>
      <c r="E8" s="3">
        <v>0</v>
      </c>
      <c r="F8" s="3">
        <f>'CARGO 4.'!$C8*95</f>
        <v>57190</v>
      </c>
      <c r="G8" s="3">
        <f>'CARGO 4.'!$C8*'CARGO 4.'!$D8</f>
        <v>61404</v>
      </c>
      <c r="H8" s="25">
        <f>'CARGO 4.'!$G8+H7</f>
        <v>396678</v>
      </c>
      <c r="I8" s="3">
        <f>40000</f>
        <v>40000</v>
      </c>
      <c r="J8" s="3">
        <f>J7+'CARGO 4.'!$I8</f>
        <v>257154</v>
      </c>
      <c r="K8" s="42">
        <f>K7+G8-I8-'CARGO 4.'!$E8-'CARGO 4.'!$L8</f>
        <v>134397</v>
      </c>
      <c r="L8" s="96">
        <v>0</v>
      </c>
      <c r="M8" s="97">
        <f>'CARGO 4.'!$G8-'CARGO 4.'!$F8-'CARGO 4.'!$E8-'CARGO 4.'!$L8</f>
        <v>4214</v>
      </c>
      <c r="N8" s="95">
        <f>'CARGO 4.'!$M8+N7</f>
        <v>22096</v>
      </c>
    </row>
    <row r="9" spans="1:14" ht="15">
      <c r="A9" s="39">
        <v>43495</v>
      </c>
      <c r="B9" s="31">
        <f t="shared" si="0"/>
        <v>6111</v>
      </c>
      <c r="C9" s="3">
        <v>598</v>
      </c>
      <c r="D9" s="68">
        <v>102</v>
      </c>
      <c r="E9" s="3">
        <f>700+250+250+250+200</f>
        <v>1650</v>
      </c>
      <c r="F9" s="3">
        <f>'CARGO 4.'!$C9*95</f>
        <v>56810</v>
      </c>
      <c r="G9" s="3">
        <f>'CARGO 4.'!$C9*'CARGO 4.'!$D9</f>
        <v>60996</v>
      </c>
      <c r="H9" s="25">
        <f>'CARGO 4.'!$G9+H8</f>
        <v>457674</v>
      </c>
      <c r="I9" s="3">
        <f>70000+20000</f>
        <v>90000</v>
      </c>
      <c r="J9" s="3">
        <f>J8+'CARGO 4.'!$I9</f>
        <v>347154</v>
      </c>
      <c r="K9" s="42">
        <f>K8+G9-I9-'CARGO 4.'!$E9-'CARGO 4.'!$L9</f>
        <v>103436</v>
      </c>
      <c r="L9" s="96">
        <f>210+97</f>
        <v>307</v>
      </c>
      <c r="M9" s="97">
        <f>'CARGO 4.'!$G9-'CARGO 4.'!$F9-'CARGO 4.'!$E9-'CARGO 4.'!$L9</f>
        <v>2229</v>
      </c>
      <c r="N9" s="95">
        <f>'CARGO 4.'!$M9+N8</f>
        <v>24325</v>
      </c>
    </row>
    <row r="10" spans="1:14" ht="15">
      <c r="A10" s="39">
        <v>43496</v>
      </c>
      <c r="B10" s="31">
        <f t="shared" si="0"/>
        <v>5513</v>
      </c>
      <c r="C10" s="3">
        <v>596</v>
      </c>
      <c r="D10" s="68">
        <v>102</v>
      </c>
      <c r="E10" s="3">
        <f>400</f>
        <v>400</v>
      </c>
      <c r="F10" s="3">
        <f>'CARGO 4.'!$C10*95</f>
        <v>56620</v>
      </c>
      <c r="G10" s="3">
        <f>'CARGO 4.'!$C10*'CARGO 4.'!$D10</f>
        <v>60792</v>
      </c>
      <c r="H10" s="25">
        <f>'CARGO 4.'!$G10+H9</f>
        <v>518466</v>
      </c>
      <c r="I10" s="3">
        <f>70000+8000</f>
        <v>78000</v>
      </c>
      <c r="J10" s="3">
        <f>J9+'CARGO 4.'!$I10</f>
        <v>425154</v>
      </c>
      <c r="K10" s="42">
        <f>K9+G10-I10-'CARGO 4.'!$E10-'CARGO 4.'!$L10</f>
        <v>85561</v>
      </c>
      <c r="L10" s="96">
        <f>210+57</f>
        <v>267</v>
      </c>
      <c r="M10" s="97">
        <f>'CARGO 4.'!$G10-'CARGO 4.'!$F10-'CARGO 4.'!$E10-'CARGO 4.'!$L10</f>
        <v>3505</v>
      </c>
      <c r="N10" s="95">
        <f>'CARGO 4.'!$M10+N9</f>
        <v>27830</v>
      </c>
    </row>
    <row r="11" spans="1:14" ht="15">
      <c r="A11" s="39">
        <v>43497</v>
      </c>
      <c r="B11" s="31">
        <f t="shared" si="0"/>
        <v>4917</v>
      </c>
      <c r="C11" s="3">
        <v>790</v>
      </c>
      <c r="D11" s="68">
        <v>102</v>
      </c>
      <c r="E11" s="3">
        <f>500+200</f>
        <v>700</v>
      </c>
      <c r="F11" s="3">
        <f>'CARGO 4.'!$C11*95</f>
        <v>75050</v>
      </c>
      <c r="G11" s="3">
        <f>'CARGO 4.'!$C11*'CARGO 4.'!$D11</f>
        <v>80580</v>
      </c>
      <c r="H11" s="25">
        <f>'CARGO 4.'!$G11+H10</f>
        <v>599046</v>
      </c>
      <c r="I11" s="3">
        <f>70000+650+12000</f>
        <v>82650</v>
      </c>
      <c r="J11" s="3">
        <f>J10+'CARGO 4.'!$I11</f>
        <v>507804</v>
      </c>
      <c r="K11" s="42">
        <f>K10+G11-I11-'CARGO 4.'!$E11-'CARGO 4.'!$L11</f>
        <v>82524</v>
      </c>
      <c r="L11" s="96">
        <f>210+57</f>
        <v>267</v>
      </c>
      <c r="M11" s="97">
        <f>'CARGO 4.'!$G11-'CARGO 4.'!$F11-'CARGO 4.'!$E11-'CARGO 4.'!$L11</f>
        <v>4563</v>
      </c>
      <c r="N11" s="95">
        <f>'CARGO 4.'!$M11+N10</f>
        <v>32393</v>
      </c>
    </row>
    <row r="12" spans="1:14" ht="15">
      <c r="A12" s="39">
        <v>43498</v>
      </c>
      <c r="B12" s="31">
        <f t="shared" si="0"/>
        <v>4127</v>
      </c>
      <c r="C12" s="3">
        <v>905</v>
      </c>
      <c r="D12" s="68">
        <v>102</v>
      </c>
      <c r="E12" s="3">
        <f>750</f>
        <v>750</v>
      </c>
      <c r="F12" s="3">
        <f>'CARGO 4.'!$C12*95</f>
        <v>85975</v>
      </c>
      <c r="G12" s="3">
        <f>'CARGO 4.'!$C12*'CARGO 4.'!$D12</f>
        <v>92310</v>
      </c>
      <c r="H12" s="25">
        <f>'CARGO 4.'!$G12+H11</f>
        <v>691356</v>
      </c>
      <c r="I12" s="3">
        <f>650</f>
        <v>650</v>
      </c>
      <c r="J12" s="3">
        <f>J11+'CARGO 4.'!$I12</f>
        <v>508454</v>
      </c>
      <c r="K12" s="42">
        <f>K11+G12-I12-'CARGO 4.'!$E12-'CARGO 4.'!$L12</f>
        <v>173434</v>
      </c>
      <c r="L12" s="96">
        <v>0</v>
      </c>
      <c r="M12" s="97">
        <f>'CARGO 4.'!$G12-'CARGO 4.'!$F12-'CARGO 4.'!$E12-'CARGO 4.'!$L12</f>
        <v>5585</v>
      </c>
      <c r="N12" s="95">
        <f>'CARGO 4.'!$M12+N11</f>
        <v>37978</v>
      </c>
    </row>
    <row r="13" spans="1:14" ht="15">
      <c r="A13" s="39">
        <v>43499</v>
      </c>
      <c r="B13" s="31">
        <f t="shared" si="0"/>
        <v>3222</v>
      </c>
      <c r="C13" s="3">
        <v>539</v>
      </c>
      <c r="D13" s="68">
        <v>102</v>
      </c>
      <c r="E13" s="3">
        <v>0</v>
      </c>
      <c r="F13" s="3">
        <f>'CARGO 4.'!$C13*95</f>
        <v>51205</v>
      </c>
      <c r="G13" s="3">
        <f>'CARGO 4.'!$C13*'CARGO 4.'!$D13</f>
        <v>54978</v>
      </c>
      <c r="H13" s="25">
        <f>'CARGO 4.'!$G13+H12</f>
        <v>746334</v>
      </c>
      <c r="I13" s="3">
        <v>70000</v>
      </c>
      <c r="J13" s="3">
        <f>J12+'CARGO 4.'!$I13</f>
        <v>578454</v>
      </c>
      <c r="K13" s="42">
        <f>K12+G13-I13-'CARGO 4.'!$E13-'CARGO 4.'!$L13</f>
        <v>158202</v>
      </c>
      <c r="L13" s="96">
        <v>210</v>
      </c>
      <c r="M13" s="97">
        <f>'CARGO 4.'!$G13-'CARGO 4.'!$F13-'CARGO 4.'!$E13-'CARGO 4.'!$L13</f>
        <v>3563</v>
      </c>
      <c r="N13" s="95">
        <f>'CARGO 4.'!$M13+N12</f>
        <v>41541</v>
      </c>
    </row>
    <row r="14" spans="1:14" ht="15">
      <c r="A14" s="39">
        <v>43500</v>
      </c>
      <c r="B14" s="31">
        <f t="shared" si="0"/>
        <v>2683</v>
      </c>
      <c r="C14" s="3">
        <v>354</v>
      </c>
      <c r="D14" s="68">
        <v>102</v>
      </c>
      <c r="E14" s="3">
        <v>538</v>
      </c>
      <c r="F14" s="3">
        <f>'CARGO 4.'!$C14*95</f>
        <v>33630</v>
      </c>
      <c r="G14" s="3">
        <f>'CARGO 4.'!$C14*'CARGO 4.'!$D14</f>
        <v>36108</v>
      </c>
      <c r="H14" s="25">
        <f>'CARGO 4.'!$G14+H13</f>
        <v>782442</v>
      </c>
      <c r="I14" s="3">
        <f>70000+1530</f>
        <v>71530</v>
      </c>
      <c r="J14" s="3">
        <f>J13+'CARGO 4.'!$I14</f>
        <v>649984</v>
      </c>
      <c r="K14" s="42">
        <f>K13+G14-I14-'CARGO 4.'!$E14-'CARGO 4.'!$L14</f>
        <v>122032</v>
      </c>
      <c r="L14" s="96">
        <f>210</f>
        <v>210</v>
      </c>
      <c r="M14" s="97">
        <f>'CARGO 4.'!$G14-'CARGO 4.'!$F14-'CARGO 4.'!$E14-'CARGO 4.'!$L14</f>
        <v>1730</v>
      </c>
      <c r="N14" s="95">
        <f>'CARGO 4.'!$M14+N13</f>
        <v>43271</v>
      </c>
    </row>
    <row r="15" spans="1:14" ht="15">
      <c r="A15" s="39">
        <v>43501</v>
      </c>
      <c r="B15" s="31">
        <f t="shared" si="0"/>
        <v>2329</v>
      </c>
      <c r="C15" s="3">
        <v>581</v>
      </c>
      <c r="D15" s="68">
        <v>102</v>
      </c>
      <c r="E15" s="3">
        <f>700+200</f>
        <v>900</v>
      </c>
      <c r="F15" s="3">
        <f>'CARGO 4.'!$C15*95</f>
        <v>55195</v>
      </c>
      <c r="G15" s="3">
        <f>'CARGO 4.'!$C15*'CARGO 4.'!$D15</f>
        <v>59262</v>
      </c>
      <c r="H15" s="25">
        <f>'CARGO 4.'!$G15+H14</f>
        <v>841704</v>
      </c>
      <c r="I15" s="3">
        <f>70000+7000</f>
        <v>77000</v>
      </c>
      <c r="J15" s="3">
        <f>J14+'CARGO 4.'!$I15</f>
        <v>726984</v>
      </c>
      <c r="K15" s="42">
        <f>K14+G15-I15-'CARGO 4.'!$E15-'CARGO 4.'!$L15</f>
        <v>103109</v>
      </c>
      <c r="L15" s="96">
        <f>210+75</f>
        <v>285</v>
      </c>
      <c r="M15" s="97">
        <f>'CARGO 4.'!$G15-'CARGO 4.'!$F15-'CARGO 4.'!$E15-'CARGO 4.'!$L15</f>
        <v>2882</v>
      </c>
      <c r="N15" s="95">
        <f>'CARGO 4.'!$M15+N14</f>
        <v>46153</v>
      </c>
    </row>
    <row r="16" spans="1:14" ht="15">
      <c r="A16" s="39">
        <v>43502</v>
      </c>
      <c r="B16" s="31">
        <f t="shared" si="0"/>
        <v>1748</v>
      </c>
      <c r="C16" s="3">
        <v>826</v>
      </c>
      <c r="D16" s="68">
        <v>102</v>
      </c>
      <c r="E16" s="3">
        <v>0</v>
      </c>
      <c r="F16" s="3">
        <f>'CARGO 4.'!$C16*95</f>
        <v>78470</v>
      </c>
      <c r="G16" s="3">
        <f>'CARGO 4.'!$C16*'CARGO 4.'!$D16</f>
        <v>84252</v>
      </c>
      <c r="H16" s="25">
        <f>'CARGO 4.'!$G16+H15</f>
        <v>925956</v>
      </c>
      <c r="I16" s="3">
        <f>70000+3000+70000</f>
        <v>143000</v>
      </c>
      <c r="J16" s="3">
        <f>J15+'CARGO 4.'!$I16</f>
        <v>869984</v>
      </c>
      <c r="K16" s="42">
        <f>K15+G16-I16-'CARGO 4.'!$E16-'CARGO 4.'!$L16</f>
        <v>43885</v>
      </c>
      <c r="L16" s="96">
        <f>210+56+210</f>
        <v>476</v>
      </c>
      <c r="M16" s="97">
        <f>'CARGO 4.'!$G16-'CARGO 4.'!$F16-'CARGO 4.'!$E16-'CARGO 4.'!$L16</f>
        <v>5306</v>
      </c>
      <c r="N16" s="95">
        <f>'CARGO 4.'!$M16+N15</f>
        <v>51459</v>
      </c>
    </row>
    <row r="17" spans="1:14" ht="15">
      <c r="A17" s="39">
        <v>43503</v>
      </c>
      <c r="B17" s="31">
        <f t="shared" si="0"/>
        <v>922</v>
      </c>
      <c r="C17" s="3">
        <v>811</v>
      </c>
      <c r="D17" s="68">
        <v>102</v>
      </c>
      <c r="E17" s="3">
        <f>50+3500</f>
        <v>3550</v>
      </c>
      <c r="F17" s="3">
        <f>'CARGO 4.'!$C17*105.5</f>
        <v>85560.5</v>
      </c>
      <c r="G17" s="3">
        <f>'CARGO 4.'!$C17*'CARGO 4.'!$D17</f>
        <v>82722</v>
      </c>
      <c r="H17" s="25">
        <f>'CARGO 4.'!$G17+H16</f>
        <v>1008678</v>
      </c>
      <c r="I17" s="3">
        <f>70000+2000</f>
        <v>72000</v>
      </c>
      <c r="J17" s="3">
        <f>J16+'CARGO 4.'!$I17</f>
        <v>941984</v>
      </c>
      <c r="K17" s="42">
        <f>K16+G17-I17-'CARGO 4.'!$E17-'CARGO 4.'!$L17</f>
        <v>50813</v>
      </c>
      <c r="L17" s="96">
        <f>210+34</f>
        <v>244</v>
      </c>
      <c r="M17" s="97">
        <f>'CARGO 4.'!$G17-'CARGO 4.'!$F17-'CARGO 4.'!$E17</f>
        <v>-6388.5</v>
      </c>
      <c r="N17" s="95">
        <f>'CARGO 4.'!$M17+N16</f>
        <v>45070.5</v>
      </c>
    </row>
    <row r="18" spans="1:14" ht="15">
      <c r="A18" s="39">
        <v>43504</v>
      </c>
      <c r="B18" s="31">
        <f t="shared" si="0"/>
        <v>111</v>
      </c>
      <c r="C18" s="3">
        <v>111</v>
      </c>
      <c r="D18" s="68">
        <v>102</v>
      </c>
      <c r="E18" s="3">
        <v>2000</v>
      </c>
      <c r="F18" s="3">
        <f>'CARGO 4.'!$C18*105.5</f>
        <v>11710.5</v>
      </c>
      <c r="G18" s="3">
        <f>'CARGO 4.'!$C18*'CARGO 4.'!$D18</f>
        <v>11322</v>
      </c>
      <c r="H18" s="25">
        <f>'CARGO 4.'!$G18+H17</f>
        <v>1020000</v>
      </c>
      <c r="I18" s="3">
        <f>1000+5700</f>
        <v>6700</v>
      </c>
      <c r="J18" s="3">
        <f>J17+'CARGO 4.'!$I18</f>
        <v>948684</v>
      </c>
      <c r="K18" s="42">
        <f>K17+G18-I18-'CARGO 4.'!$E18-'CARGO 4.'!$L18</f>
        <v>53420</v>
      </c>
      <c r="L18" s="96">
        <f>15</f>
        <v>15</v>
      </c>
      <c r="M18" s="97">
        <f>'CARGO 4.'!$G18-'CARGO 4.'!$F18-'CARGO 4.'!$E18</f>
        <v>-2388.5</v>
      </c>
      <c r="N18" s="95">
        <f>'CARGO 4.'!$M18+N16</f>
        <v>49070.5</v>
      </c>
    </row>
    <row r="19" spans="1:14" ht="15">
      <c r="A19" s="39">
        <v>43505</v>
      </c>
      <c r="B19" s="31">
        <f t="shared" si="0"/>
        <v>0</v>
      </c>
      <c r="C19" s="3"/>
      <c r="D19" s="68">
        <v>102</v>
      </c>
      <c r="E19" s="3">
        <f>5000+6000+15000+10000+10000+6050</f>
        <v>52050</v>
      </c>
      <c r="F19" s="3">
        <f>'CARGO 4.'!$C19*105.5</f>
        <v>0</v>
      </c>
      <c r="G19" s="3">
        <f>'CARGO 4.'!$C19*'CARGO 4.'!$D19</f>
        <v>0</v>
      </c>
      <c r="H19" s="25">
        <f>'CARGO 4.'!$G19+H18</f>
        <v>1020000</v>
      </c>
      <c r="I19" s="3"/>
      <c r="J19" s="3">
        <f>J18+'CARGO 4.'!$I19</f>
        <v>948684</v>
      </c>
      <c r="K19" s="42">
        <f>K18+G19-I19-'CARGO 4.'!$E19-'CARGO 4.'!$L19</f>
        <v>1017</v>
      </c>
      <c r="L19" s="96">
        <f>41+61+77+87+87</f>
        <v>353</v>
      </c>
      <c r="M19" s="97">
        <f>'CARGO 4.'!$G19-'CARGO 4.'!$F19-'CARGO 4.'!$E19</f>
        <v>-52050</v>
      </c>
      <c r="N19" s="95">
        <f>'CARGO 4.'!$M19+N16</f>
        <v>-591</v>
      </c>
    </row>
    <row r="20" spans="1:14" ht="15">
      <c r="A20" s="39">
        <v>43506</v>
      </c>
      <c r="B20" s="31">
        <f t="shared" si="0"/>
        <v>0</v>
      </c>
      <c r="C20" s="3"/>
      <c r="D20" s="68">
        <v>102</v>
      </c>
      <c r="E20" s="3"/>
      <c r="F20" s="3">
        <f>'CARGO 4.'!$C20*105.5</f>
        <v>0</v>
      </c>
      <c r="G20" s="3">
        <f>'CARGO 4.'!$C20*'CARGO 4.'!$D20</f>
        <v>0</v>
      </c>
      <c r="H20" s="25">
        <f>'CARGO 4.'!$G20+H19</f>
        <v>1020000</v>
      </c>
      <c r="I20" s="3"/>
      <c r="J20" s="3">
        <f>J19+'CARGO 4.'!$I20</f>
        <v>948684</v>
      </c>
      <c r="K20" s="42">
        <f>K19+G20-I20-'CARGO 4.'!$E20-'CARGO 4.'!$L20</f>
        <v>1017</v>
      </c>
      <c r="L20" s="96"/>
      <c r="M20" s="97">
        <f>'CARGO 4.'!$G20-'CARGO 4.'!$F20-'CARGO 4.'!$E20</f>
        <v>0</v>
      </c>
      <c r="N20" s="95">
        <f>'CARGO 4.'!$M20+N16</f>
        <v>51459</v>
      </c>
    </row>
    <row r="21" spans="1:14" ht="15">
      <c r="A21" s="39">
        <v>43507</v>
      </c>
      <c r="B21" s="31">
        <f t="shared" si="0"/>
        <v>0</v>
      </c>
      <c r="C21" s="3"/>
      <c r="D21" s="68">
        <v>102</v>
      </c>
      <c r="E21" s="3"/>
      <c r="F21" s="3">
        <f>'CARGO 4.'!$C21*95</f>
        <v>0</v>
      </c>
      <c r="G21" s="3">
        <f>'CARGO 4.'!$C21*'CARGO 4.'!$D21</f>
        <v>0</v>
      </c>
      <c r="H21" s="25">
        <f>'CARGO 4.'!$G21+H20</f>
        <v>1020000</v>
      </c>
      <c r="I21" s="3"/>
      <c r="J21" s="3">
        <f>J20+'CARGO 4.'!$I21</f>
        <v>948684</v>
      </c>
      <c r="K21" s="42">
        <f>K20+G21-I21-'CARGO 4.'!$E21-'CARGO 4.'!$L21</f>
        <v>1017</v>
      </c>
      <c r="L21" s="96"/>
      <c r="M21" s="95">
        <f>'CARGO 4.'!$G21-'CARGO 4.'!$F21-'CARGO 4.'!$E21</f>
        <v>0</v>
      </c>
      <c r="N21" s="95">
        <f>'CARGO 4.'!$M21+N16</f>
        <v>51459</v>
      </c>
    </row>
    <row r="22" spans="1:14" ht="15">
      <c r="A22" s="15"/>
      <c r="B22" s="15"/>
      <c r="C22" s="15">
        <f>SUM(C4:C21)</f>
        <v>10000</v>
      </c>
      <c r="D22" s="15"/>
      <c r="E22" s="15">
        <f>SUM(E4:E21)</f>
        <v>66938</v>
      </c>
      <c r="F22" s="15">
        <f>SUM(F4:F21)</f>
        <v>959681</v>
      </c>
      <c r="G22" s="15">
        <f>SUM(G4:G21)</f>
        <v>1020000</v>
      </c>
      <c r="H22" s="15">
        <f>H21</f>
        <v>1020000</v>
      </c>
      <c r="I22" s="15">
        <f>SUM(I4:I21)</f>
        <v>948684</v>
      </c>
      <c r="J22" s="15">
        <f>J21</f>
        <v>948684</v>
      </c>
      <c r="K22" s="15">
        <f>K21</f>
        <v>1017</v>
      </c>
      <c r="L22" s="15">
        <f>SUM(L4:L21)</f>
        <v>3361</v>
      </c>
      <c r="M22" s="15">
        <f>SUM(M4:M16)</f>
        <v>51459</v>
      </c>
      <c r="N22" s="95"/>
    </row>
    <row r="23" spans="1:14" ht="15">
      <c r="A23" s="39"/>
      <c r="B23" s="31"/>
      <c r="C23" s="48"/>
      <c r="D23" s="68"/>
      <c r="E23" s="48"/>
      <c r="F23" s="48">
        <f>'CARGO 4.'!$C23*105.5</f>
        <v>0</v>
      </c>
      <c r="G23" s="3"/>
      <c r="H23" s="48"/>
      <c r="I23" s="48"/>
      <c r="J23" s="3"/>
      <c r="K23" s="42"/>
      <c r="L23" s="96"/>
      <c r="M23" s="95"/>
      <c r="N23" s="95"/>
    </row>
    <row r="24" spans="1:14" ht="15">
      <c r="A24" s="60" t="s">
        <v>26</v>
      </c>
      <c r="B24" s="8"/>
      <c r="C24" s="8"/>
      <c r="D24" s="68"/>
      <c r="E24" s="8"/>
      <c r="F24" s="8">
        <v>0</v>
      </c>
      <c r="G24" s="8">
        <v>0</v>
      </c>
      <c r="H24" s="8">
        <f>G23+'CARGO 4.'!$G24</f>
        <v>0</v>
      </c>
      <c r="I24" s="8">
        <v>0</v>
      </c>
      <c r="J24" s="8"/>
      <c r="K24" s="61"/>
      <c r="L24" s="100"/>
      <c r="M24" s="107"/>
      <c r="N24" s="95">
        <f>'CARGO 4.'!$M24+N23</f>
        <v>0</v>
      </c>
    </row>
    <row r="25" spans="1:10" ht="15">
      <c r="A25" s="63"/>
      <c r="B25" s="64"/>
      <c r="C25" s="64"/>
      <c r="D25" s="64"/>
      <c r="E25" s="64"/>
      <c r="F25" s="64"/>
      <c r="G25" s="64"/>
      <c r="H25" s="64"/>
      <c r="I25" s="65"/>
      <c r="J25" s="65"/>
    </row>
    <row r="26" spans="2:10" ht="15">
      <c r="B26" s="62" t="s">
        <v>52</v>
      </c>
      <c r="C26" s="53"/>
      <c r="D26" s="12"/>
      <c r="E26" s="12"/>
      <c r="F26" s="12"/>
      <c r="G26" s="12"/>
      <c r="H26" s="20"/>
      <c r="I26" s="17"/>
      <c r="J26" s="55"/>
    </row>
    <row r="27" spans="2:10" ht="15">
      <c r="B27" s="12" t="s">
        <v>51</v>
      </c>
      <c r="C27" s="53">
        <f>C22-C24-C26</f>
        <v>10000</v>
      </c>
      <c r="D27" s="53"/>
      <c r="E27" s="5" t="s">
        <v>50</v>
      </c>
      <c r="F27" s="6"/>
      <c r="G27" s="110">
        <f>G22</f>
        <v>1020000</v>
      </c>
      <c r="H27" s="20"/>
      <c r="I27" s="17"/>
      <c r="J27" s="55"/>
    </row>
    <row r="28" spans="3:10" ht="15">
      <c r="C28" s="12"/>
      <c r="D28" s="53"/>
      <c r="E28" s="5" t="s">
        <v>53</v>
      </c>
      <c r="F28" s="110">
        <f>K22</f>
        <v>1017</v>
      </c>
      <c r="G28" s="110"/>
      <c r="H28" s="20"/>
      <c r="I28" s="55"/>
      <c r="J28" s="55"/>
    </row>
    <row r="29" spans="1:9" s="12" customFormat="1" ht="15">
      <c r="A29" s="12" t="s">
        <v>60</v>
      </c>
      <c r="B29" s="12">
        <v>369184</v>
      </c>
      <c r="D29" s="53"/>
      <c r="E29" s="5" t="s">
        <v>144</v>
      </c>
      <c r="F29" s="110">
        <f>J22</f>
        <v>948684</v>
      </c>
      <c r="G29" s="5"/>
      <c r="H29" s="20"/>
      <c r="I29" s="55"/>
    </row>
    <row r="30" spans="4:9" ht="15">
      <c r="D30" s="12"/>
      <c r="E30" s="5" t="s">
        <v>145</v>
      </c>
      <c r="F30" s="110">
        <f>E22</f>
        <v>66938</v>
      </c>
      <c r="G30" s="6"/>
      <c r="H30" s="20"/>
      <c r="I30" s="55"/>
    </row>
    <row r="31" spans="4:9" ht="15">
      <c r="D31" s="12"/>
      <c r="E31" s="5" t="s">
        <v>146</v>
      </c>
      <c r="F31" s="110">
        <f>L22</f>
        <v>3361</v>
      </c>
      <c r="G31" s="111"/>
      <c r="H31" s="20"/>
      <c r="I31" s="55"/>
    </row>
    <row r="32" spans="3:9" ht="15">
      <c r="C32" s="20"/>
      <c r="D32" s="12"/>
      <c r="E32" s="112" t="s">
        <v>147</v>
      </c>
      <c r="F32" s="113">
        <f>SUM(F28:F31)</f>
        <v>1020000</v>
      </c>
      <c r="G32" s="112">
        <f>SUM(G27:G31)</f>
        <v>1020000</v>
      </c>
      <c r="H32" s="20"/>
      <c r="I32" s="55"/>
    </row>
    <row r="33" ht="15">
      <c r="I33" s="55"/>
    </row>
    <row r="34" spans="6:7" ht="15">
      <c r="F34" s="20">
        <f>F28+F30+F31</f>
        <v>71316</v>
      </c>
      <c r="G34" s="20"/>
    </row>
    <row r="36" ht="15">
      <c r="F36" s="20"/>
    </row>
    <row r="214" ht="15">
      <c r="M214">
        <v>48</v>
      </c>
    </row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landscape" scale="62" r:id="rId2"/>
  <ignoredErrors>
    <ignoredError sqref="I22" 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3.00390625" style="0" customWidth="1"/>
    <col min="2" max="2" width="17.421875" style="0" customWidth="1"/>
    <col min="3" max="3" width="16.57421875" style="0" customWidth="1"/>
    <col min="4" max="4" width="16.8515625" style="0" customWidth="1"/>
    <col min="5" max="5" width="14.57421875" style="0" customWidth="1"/>
  </cols>
  <sheetData>
    <row r="1" spans="1:5" ht="15">
      <c r="A1" s="6"/>
      <c r="B1" s="6" t="s">
        <v>182</v>
      </c>
      <c r="C1" s="6" t="s">
        <v>148</v>
      </c>
      <c r="D1" s="6" t="s">
        <v>149</v>
      </c>
      <c r="E1" s="6" t="s">
        <v>186</v>
      </c>
    </row>
    <row r="2" spans="1:5" ht="15">
      <c r="A2" s="6" t="s">
        <v>181</v>
      </c>
      <c r="B2" s="7">
        <v>1119292</v>
      </c>
      <c r="C2" s="7">
        <v>1109889</v>
      </c>
      <c r="D2" s="7">
        <v>1095762</v>
      </c>
      <c r="E2" s="7">
        <v>1020000</v>
      </c>
    </row>
    <row r="3" spans="1:5" ht="15">
      <c r="A3" s="6" t="s">
        <v>180</v>
      </c>
      <c r="B3" s="7">
        <v>1073862</v>
      </c>
      <c r="C3" s="7">
        <v>1089092</v>
      </c>
      <c r="D3" s="7">
        <v>1047027</v>
      </c>
      <c r="E3" s="7">
        <v>980000</v>
      </c>
    </row>
    <row r="4" spans="1:5" ht="15">
      <c r="A4" s="6" t="s">
        <v>184</v>
      </c>
      <c r="B4" s="7">
        <v>20000</v>
      </c>
      <c r="C4" s="7">
        <v>20000</v>
      </c>
      <c r="D4" s="7">
        <v>20000</v>
      </c>
      <c r="E4" s="7">
        <v>20000</v>
      </c>
    </row>
    <row r="5" spans="1:5" ht="15">
      <c r="A5" s="6" t="s">
        <v>185</v>
      </c>
      <c r="B5" s="7">
        <v>20357</v>
      </c>
      <c r="C5" s="7">
        <v>16880</v>
      </c>
      <c r="D5" s="7">
        <v>40205</v>
      </c>
      <c r="E5" s="7">
        <v>20000</v>
      </c>
    </row>
    <row r="6" spans="1:5" ht="15">
      <c r="A6" s="6" t="s">
        <v>183</v>
      </c>
      <c r="B6" s="7">
        <v>21032</v>
      </c>
      <c r="C6" s="7">
        <v>84193</v>
      </c>
      <c r="D6" s="7">
        <v>46501</v>
      </c>
      <c r="E6" s="7">
        <v>51434</v>
      </c>
    </row>
    <row r="7" spans="1:5" ht="15">
      <c r="A7" s="6"/>
      <c r="B7" s="7"/>
      <c r="C7" s="7"/>
      <c r="D7" s="7"/>
      <c r="E7" s="7"/>
    </row>
    <row r="8" spans="1:5" ht="15">
      <c r="A8" s="6"/>
      <c r="B8" s="7"/>
      <c r="C8" s="7"/>
      <c r="D8" s="7"/>
      <c r="E8" s="7"/>
    </row>
    <row r="9" spans="1:5" ht="15">
      <c r="A9" s="6"/>
      <c r="B9" s="7"/>
      <c r="C9" s="7"/>
      <c r="D9" s="7"/>
      <c r="E9" s="7"/>
    </row>
    <row r="11" spans="2:3" ht="15">
      <c r="B11" s="20"/>
      <c r="C11" s="20"/>
    </row>
    <row r="12" ht="15">
      <c r="B12" s="20"/>
    </row>
    <row r="13" ht="15">
      <c r="B13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21">
      <selection activeCell="F63" sqref="F63"/>
    </sheetView>
  </sheetViews>
  <sheetFormatPr defaultColWidth="9.140625" defaultRowHeight="15"/>
  <cols>
    <col min="1" max="1" width="14.421875" style="0" customWidth="1"/>
    <col min="2" max="2" width="30.7109375" style="12" customWidth="1"/>
    <col min="3" max="3" width="21.00390625" style="12" customWidth="1"/>
    <col min="4" max="4" width="31.28125" style="0" customWidth="1"/>
    <col min="5" max="6" width="10.140625" style="0" bestFit="1" customWidth="1"/>
  </cols>
  <sheetData>
    <row r="1" spans="1:4" ht="15">
      <c r="A1" s="143" t="s">
        <v>148</v>
      </c>
      <c r="B1" s="143"/>
      <c r="C1" s="143"/>
      <c r="D1" s="143"/>
    </row>
    <row r="2" spans="1:4" s="66" customFormat="1" ht="15">
      <c r="A2" s="103" t="s">
        <v>128</v>
      </c>
      <c r="B2" s="103" t="s">
        <v>75</v>
      </c>
      <c r="C2" s="103" t="s">
        <v>162</v>
      </c>
      <c r="D2" s="103" t="s">
        <v>30</v>
      </c>
    </row>
    <row r="3" spans="1:4" ht="15">
      <c r="A3" s="19">
        <v>43463</v>
      </c>
      <c r="B3" s="114"/>
      <c r="C3" s="114"/>
      <c r="D3" s="111">
        <f>B3</f>
        <v>0</v>
      </c>
    </row>
    <row r="4" spans="1:4" ht="15">
      <c r="A4" s="19">
        <v>43464</v>
      </c>
      <c r="B4" s="114"/>
      <c r="C4" s="114"/>
      <c r="D4" s="111">
        <f aca="true" t="shared" si="0" ref="D4:D10">D3+B4</f>
        <v>0</v>
      </c>
    </row>
    <row r="5" spans="1:4" ht="15">
      <c r="A5" s="19">
        <v>43465</v>
      </c>
      <c r="B5" s="114">
        <v>176000</v>
      </c>
      <c r="C5" s="114" t="s">
        <v>163</v>
      </c>
      <c r="D5" s="111">
        <f t="shared" si="0"/>
        <v>176000</v>
      </c>
    </row>
    <row r="6" spans="1:4" ht="15">
      <c r="A6" s="19">
        <v>43466</v>
      </c>
      <c r="B6" s="114"/>
      <c r="C6" s="114"/>
      <c r="D6" s="111">
        <f t="shared" si="0"/>
        <v>176000</v>
      </c>
    </row>
    <row r="7" spans="1:4" ht="15">
      <c r="A7" s="19">
        <v>43467</v>
      </c>
      <c r="B7" s="114">
        <v>251000</v>
      </c>
      <c r="C7" s="114" t="s">
        <v>164</v>
      </c>
      <c r="D7" s="111">
        <f t="shared" si="0"/>
        <v>427000</v>
      </c>
    </row>
    <row r="8" spans="1:4" ht="15">
      <c r="A8" s="19">
        <v>43468</v>
      </c>
      <c r="B8" s="114"/>
      <c r="C8" s="114"/>
      <c r="D8" s="111">
        <f t="shared" si="0"/>
        <v>427000</v>
      </c>
    </row>
    <row r="9" spans="1:4" ht="15">
      <c r="A9" s="19">
        <v>43469</v>
      </c>
      <c r="B9" s="114">
        <f>107000+159000</f>
        <v>266000</v>
      </c>
      <c r="C9" s="114" t="s">
        <v>165</v>
      </c>
      <c r="D9" s="111">
        <f t="shared" si="0"/>
        <v>693000</v>
      </c>
    </row>
    <row r="10" spans="1:4" ht="15">
      <c r="A10" s="19">
        <v>43470</v>
      </c>
      <c r="B10" s="114">
        <v>388541</v>
      </c>
      <c r="C10" s="114" t="s">
        <v>158</v>
      </c>
      <c r="D10" s="114">
        <f t="shared" si="0"/>
        <v>1081541</v>
      </c>
    </row>
    <row r="11" spans="1:4" ht="15">
      <c r="A11" s="126" t="s">
        <v>30</v>
      </c>
      <c r="B11" s="114">
        <f>SUM(B3:B10)</f>
        <v>1081541</v>
      </c>
      <c r="C11" s="114"/>
      <c r="D11" s="111"/>
    </row>
    <row r="12" spans="1:4" s="29" customFormat="1" ht="15">
      <c r="A12" s="134"/>
      <c r="B12" s="135"/>
      <c r="C12" s="135"/>
      <c r="D12" s="136"/>
    </row>
    <row r="13" spans="1:4" ht="15.75" thickBot="1">
      <c r="A13" s="137" t="s">
        <v>160</v>
      </c>
      <c r="B13" s="133"/>
      <c r="C13" s="135"/>
      <c r="D13" s="136"/>
    </row>
    <row r="14" spans="1:4" s="29" customFormat="1" ht="15">
      <c r="A14" s="134"/>
      <c r="B14" s="135"/>
      <c r="C14" s="135"/>
      <c r="D14" s="136"/>
    </row>
    <row r="15" spans="1:4" ht="15.75" thickBot="1">
      <c r="A15" s="135" t="s">
        <v>161</v>
      </c>
      <c r="B15" s="133"/>
      <c r="C15" s="135" t="s">
        <v>175</v>
      </c>
      <c r="D15" s="139"/>
    </row>
    <row r="16" spans="1:4" ht="15">
      <c r="A16" s="128"/>
      <c r="B16" s="128"/>
      <c r="C16" s="128"/>
      <c r="D16" s="129"/>
    </row>
    <row r="17" spans="1:4" ht="15">
      <c r="A17" s="144" t="s">
        <v>149</v>
      </c>
      <c r="B17" s="145"/>
      <c r="C17" s="145"/>
      <c r="D17" s="146"/>
    </row>
    <row r="18" spans="1:4" ht="15">
      <c r="A18" s="19">
        <v>43471</v>
      </c>
      <c r="B18" s="5"/>
      <c r="C18" s="5"/>
      <c r="D18" s="6"/>
    </row>
    <row r="19" spans="1:4" ht="15">
      <c r="A19" s="19">
        <v>43472</v>
      </c>
      <c r="B19" s="104"/>
      <c r="C19" s="104"/>
      <c r="D19" s="6"/>
    </row>
    <row r="20" spans="1:4" ht="15">
      <c r="A20" s="19">
        <v>43473</v>
      </c>
      <c r="B20" s="114">
        <f>69000</f>
        <v>69000</v>
      </c>
      <c r="C20" s="5" t="s">
        <v>167</v>
      </c>
      <c r="D20" s="114">
        <f>B20</f>
        <v>69000</v>
      </c>
    </row>
    <row r="21" spans="1:4" ht="15">
      <c r="A21" s="19">
        <v>43474</v>
      </c>
      <c r="C21" s="5"/>
      <c r="D21" s="114">
        <f>D20+B21</f>
        <v>69000</v>
      </c>
    </row>
    <row r="22" spans="1:4" ht="15">
      <c r="A22" s="19">
        <v>43475</v>
      </c>
      <c r="B22" s="114">
        <v>132000</v>
      </c>
      <c r="C22" s="5" t="s">
        <v>168</v>
      </c>
      <c r="D22" s="114">
        <f aca="true" t="shared" si="1" ref="D22:D32">D21+B22</f>
        <v>201000</v>
      </c>
    </row>
    <row r="23" spans="1:4" ht="15">
      <c r="A23" s="19">
        <v>43476</v>
      </c>
      <c r="B23" s="114">
        <v>40000</v>
      </c>
      <c r="C23" s="5" t="s">
        <v>169</v>
      </c>
      <c r="D23" s="114">
        <f t="shared" si="1"/>
        <v>241000</v>
      </c>
    </row>
    <row r="24" spans="1:4" ht="15">
      <c r="A24" s="19">
        <v>43477</v>
      </c>
      <c r="B24" s="114">
        <v>0</v>
      </c>
      <c r="C24" s="5"/>
      <c r="D24" s="114">
        <f t="shared" si="1"/>
        <v>241000</v>
      </c>
    </row>
    <row r="25" spans="1:4" ht="15">
      <c r="A25" s="19">
        <v>43478</v>
      </c>
      <c r="B25" s="114">
        <v>0</v>
      </c>
      <c r="C25" s="5"/>
      <c r="D25" s="114">
        <f t="shared" si="1"/>
        <v>241000</v>
      </c>
    </row>
    <row r="26" spans="1:4" ht="15">
      <c r="A26" s="19">
        <v>43479</v>
      </c>
      <c r="B26" s="114">
        <v>200000</v>
      </c>
      <c r="C26" s="5" t="s">
        <v>168</v>
      </c>
      <c r="D26" s="114">
        <f t="shared" si="1"/>
        <v>441000</v>
      </c>
    </row>
    <row r="27" spans="1:4" ht="15">
      <c r="A27" s="19">
        <v>43480</v>
      </c>
      <c r="B27" s="114">
        <v>140000</v>
      </c>
      <c r="C27" s="5" t="s">
        <v>168</v>
      </c>
      <c r="D27" s="114">
        <f t="shared" si="1"/>
        <v>581000</v>
      </c>
    </row>
    <row r="28" spans="1:4" ht="15">
      <c r="A28" s="19">
        <v>43481</v>
      </c>
      <c r="B28" s="114">
        <f>30000+225434</f>
        <v>255434</v>
      </c>
      <c r="C28" s="140" t="s">
        <v>167</v>
      </c>
      <c r="D28" s="114">
        <f t="shared" si="1"/>
        <v>836434</v>
      </c>
    </row>
    <row r="29" spans="1:4" ht="15">
      <c r="A29" s="19">
        <v>43482</v>
      </c>
      <c r="B29" s="114">
        <f>70000+2700</f>
        <v>72700</v>
      </c>
      <c r="C29" s="5" t="s">
        <v>158</v>
      </c>
      <c r="D29" s="114">
        <f t="shared" si="1"/>
        <v>909134</v>
      </c>
    </row>
    <row r="30" spans="1:4" ht="15">
      <c r="A30" s="19">
        <v>43483</v>
      </c>
      <c r="B30" s="114">
        <f>52620+60000</f>
        <v>112620</v>
      </c>
      <c r="C30" s="5" t="s">
        <v>158</v>
      </c>
      <c r="D30" s="114">
        <f t="shared" si="1"/>
        <v>1021754</v>
      </c>
    </row>
    <row r="31" spans="1:5" ht="15">
      <c r="A31" s="19">
        <v>43484</v>
      </c>
      <c r="B31" s="114">
        <v>12933</v>
      </c>
      <c r="C31" s="5" t="s">
        <v>158</v>
      </c>
      <c r="D31" s="114">
        <f t="shared" si="1"/>
        <v>1034687</v>
      </c>
      <c r="E31" s="23"/>
    </row>
    <row r="32" spans="1:6" ht="15">
      <c r="A32" s="19">
        <v>43485</v>
      </c>
      <c r="B32" s="114"/>
      <c r="C32" s="5"/>
      <c r="D32" s="114">
        <f t="shared" si="1"/>
        <v>1034687</v>
      </c>
      <c r="F32" s="23"/>
    </row>
    <row r="33" spans="1:4" ht="15">
      <c r="A33" s="19">
        <v>43486</v>
      </c>
      <c r="B33" s="114"/>
      <c r="C33" s="5"/>
      <c r="D33" s="6"/>
    </row>
    <row r="34" spans="1:4" ht="15">
      <c r="A34" s="19">
        <v>43487</v>
      </c>
      <c r="B34" s="114"/>
      <c r="C34" s="5"/>
      <c r="D34" s="6"/>
    </row>
    <row r="35" spans="2:3" s="29" customFormat="1" ht="15">
      <c r="B35" s="138"/>
      <c r="C35" s="138"/>
    </row>
    <row r="36" spans="1:4" ht="15.75" thickBot="1">
      <c r="A36" s="137" t="s">
        <v>160</v>
      </c>
      <c r="B36" s="133"/>
      <c r="C36" s="135"/>
      <c r="D36" s="136"/>
    </row>
    <row r="37" spans="1:4" s="29" customFormat="1" ht="15">
      <c r="A37" s="134"/>
      <c r="B37" s="135"/>
      <c r="C37" s="135"/>
      <c r="D37" s="136"/>
    </row>
    <row r="38" spans="1:4" s="29" customFormat="1" ht="15.75" thickBot="1">
      <c r="A38" s="135" t="s">
        <v>161</v>
      </c>
      <c r="B38" s="133"/>
      <c r="C38" s="135" t="s">
        <v>175</v>
      </c>
      <c r="D38" s="139"/>
    </row>
    <row r="40" spans="1:4" ht="15">
      <c r="A40" s="144" t="s">
        <v>186</v>
      </c>
      <c r="B40" s="145"/>
      <c r="C40" s="145"/>
      <c r="D40" s="146"/>
    </row>
    <row r="41" spans="1:4" ht="15">
      <c r="A41" s="19">
        <v>43490</v>
      </c>
      <c r="B41" s="114"/>
      <c r="C41" s="5"/>
      <c r="D41" s="6"/>
    </row>
    <row r="42" spans="1:4" ht="15">
      <c r="A42" s="19">
        <v>43491</v>
      </c>
      <c r="B42" s="114"/>
      <c r="C42" s="104"/>
      <c r="D42" s="6"/>
    </row>
    <row r="43" spans="1:4" ht="15">
      <c r="A43" s="19">
        <v>43492</v>
      </c>
      <c r="B43" s="114"/>
      <c r="C43" s="5"/>
      <c r="D43" s="114">
        <f>B43</f>
        <v>0</v>
      </c>
    </row>
    <row r="44" spans="1:4" ht="15">
      <c r="A44" s="19">
        <v>43493</v>
      </c>
      <c r="B44" s="114">
        <v>140000</v>
      </c>
      <c r="C44" s="5" t="s">
        <v>153</v>
      </c>
      <c r="D44" s="114">
        <f>D43+B44</f>
        <v>140000</v>
      </c>
    </row>
    <row r="45" spans="1:4" ht="15">
      <c r="A45" s="19">
        <v>43494</v>
      </c>
      <c r="B45" s="114">
        <v>0</v>
      </c>
      <c r="C45" s="5"/>
      <c r="D45" s="114">
        <f aca="true" t="shared" si="2" ref="D45:D61">D44+B45</f>
        <v>140000</v>
      </c>
    </row>
    <row r="46" spans="1:4" ht="15">
      <c r="A46" s="19">
        <v>43495</v>
      </c>
      <c r="B46" s="114">
        <v>0</v>
      </c>
      <c r="C46" s="5"/>
      <c r="D46" s="114">
        <f t="shared" si="2"/>
        <v>140000</v>
      </c>
    </row>
    <row r="47" spans="1:4" ht="15">
      <c r="A47" s="19">
        <v>43496</v>
      </c>
      <c r="B47" s="114">
        <v>0</v>
      </c>
      <c r="C47" s="5"/>
      <c r="D47" s="114">
        <f t="shared" si="2"/>
        <v>140000</v>
      </c>
    </row>
    <row r="48" spans="1:4" ht="15">
      <c r="A48" s="19">
        <v>43497</v>
      </c>
      <c r="B48" s="114">
        <v>70000</v>
      </c>
      <c r="C48" s="5" t="s">
        <v>158</v>
      </c>
      <c r="D48" s="114">
        <f t="shared" si="2"/>
        <v>210000</v>
      </c>
    </row>
    <row r="49" spans="1:4" ht="15">
      <c r="A49" s="19">
        <v>43498</v>
      </c>
      <c r="B49" s="114">
        <v>0</v>
      </c>
      <c r="C49" s="5"/>
      <c r="D49" s="114">
        <f t="shared" si="2"/>
        <v>210000</v>
      </c>
    </row>
    <row r="50" spans="1:4" ht="15">
      <c r="A50" s="19">
        <v>43499</v>
      </c>
      <c r="B50" s="114">
        <v>70000</v>
      </c>
      <c r="C50" s="5" t="s">
        <v>158</v>
      </c>
      <c r="D50" s="114">
        <f t="shared" si="2"/>
        <v>280000</v>
      </c>
    </row>
    <row r="51" spans="1:4" ht="15">
      <c r="A51" s="19">
        <v>43500</v>
      </c>
      <c r="B51" s="114">
        <v>70000</v>
      </c>
      <c r="C51" s="140" t="s">
        <v>158</v>
      </c>
      <c r="D51" s="114">
        <f t="shared" si="2"/>
        <v>350000</v>
      </c>
    </row>
    <row r="52" spans="1:4" ht="15">
      <c r="A52" s="19">
        <v>43501</v>
      </c>
      <c r="B52" s="114">
        <v>70000</v>
      </c>
      <c r="C52" s="5" t="s">
        <v>158</v>
      </c>
      <c r="D52" s="114">
        <f t="shared" si="2"/>
        <v>420000</v>
      </c>
    </row>
    <row r="53" spans="1:4" ht="15">
      <c r="A53" s="19">
        <v>43502</v>
      </c>
      <c r="B53" s="114">
        <f>70000+70000</f>
        <v>140000</v>
      </c>
      <c r="C53" s="5" t="s">
        <v>158</v>
      </c>
      <c r="D53" s="114">
        <f t="shared" si="2"/>
        <v>560000</v>
      </c>
    </row>
    <row r="54" spans="1:4" ht="15">
      <c r="A54" s="19">
        <v>43503</v>
      </c>
      <c r="B54" s="114">
        <v>0</v>
      </c>
      <c r="C54" s="5"/>
      <c r="D54" s="114">
        <f t="shared" si="2"/>
        <v>560000</v>
      </c>
    </row>
    <row r="55" spans="1:4" ht="15">
      <c r="A55" s="19">
        <v>43504</v>
      </c>
      <c r="B55" s="114">
        <f>70000</f>
        <v>70000</v>
      </c>
      <c r="C55" s="5" t="s">
        <v>158</v>
      </c>
      <c r="D55" s="114">
        <f t="shared" si="2"/>
        <v>630000</v>
      </c>
    </row>
    <row r="56" spans="1:4" ht="15">
      <c r="A56" s="19">
        <v>43507</v>
      </c>
      <c r="B56" s="114">
        <v>140000</v>
      </c>
      <c r="C56" s="5" t="s">
        <v>153</v>
      </c>
      <c r="D56" s="114">
        <f t="shared" si="2"/>
        <v>770000</v>
      </c>
    </row>
    <row r="57" spans="1:4" ht="15">
      <c r="A57" s="19">
        <v>43509</v>
      </c>
      <c r="B57" s="114">
        <v>80000</v>
      </c>
      <c r="C57" s="5" t="s">
        <v>167</v>
      </c>
      <c r="D57" s="114">
        <f t="shared" si="2"/>
        <v>850000</v>
      </c>
    </row>
    <row r="58" spans="1:4" ht="15">
      <c r="A58" s="19"/>
      <c r="B58" s="114"/>
      <c r="C58" s="5"/>
      <c r="D58" s="114">
        <f t="shared" si="2"/>
        <v>850000</v>
      </c>
    </row>
    <row r="59" spans="1:4" ht="15">
      <c r="A59" s="19"/>
      <c r="B59" s="114"/>
      <c r="C59" s="5"/>
      <c r="D59" s="114">
        <f t="shared" si="2"/>
        <v>850000</v>
      </c>
    </row>
    <row r="60" spans="1:4" ht="15">
      <c r="A60" s="19"/>
      <c r="B60" s="114"/>
      <c r="C60" s="5"/>
      <c r="D60" s="114">
        <f t="shared" si="2"/>
        <v>850000</v>
      </c>
    </row>
    <row r="61" spans="1:4" ht="15">
      <c r="A61" s="29"/>
      <c r="B61" s="138"/>
      <c r="C61" s="138"/>
      <c r="D61" s="114">
        <f t="shared" si="2"/>
        <v>850000</v>
      </c>
    </row>
    <row r="62" spans="1:6" ht="15.75" thickBot="1">
      <c r="A62" s="137" t="s">
        <v>160</v>
      </c>
      <c r="B62" s="133"/>
      <c r="C62" s="135"/>
      <c r="D62" s="136">
        <v>1020000</v>
      </c>
      <c r="E62" s="23">
        <f>D62-D61-40000</f>
        <v>130000</v>
      </c>
      <c r="F62" s="23">
        <f>D61+E62</f>
        <v>980000</v>
      </c>
    </row>
    <row r="63" spans="1:4" ht="15">
      <c r="A63" s="134"/>
      <c r="B63" s="135"/>
      <c r="C63" s="135"/>
      <c r="D63" s="136"/>
    </row>
    <row r="64" spans="1:4" ht="15.75" thickBot="1">
      <c r="A64" s="135" t="s">
        <v>161</v>
      </c>
      <c r="B64" s="133"/>
      <c r="C64" s="135" t="s">
        <v>175</v>
      </c>
      <c r="D64" s="139"/>
    </row>
  </sheetData>
  <sheetProtection/>
  <mergeCells count="3">
    <mergeCell ref="A1:D1"/>
    <mergeCell ref="A17:D17"/>
    <mergeCell ref="A40:D40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60"/>
  <sheetViews>
    <sheetView tabSelected="1" zoomScale="115" zoomScaleNormal="115" zoomScalePageLayoutView="0" workbookViewId="0" topLeftCell="A37">
      <selection activeCell="D51" sqref="D51"/>
    </sheetView>
  </sheetViews>
  <sheetFormatPr defaultColWidth="9.140625" defaultRowHeight="15"/>
  <cols>
    <col min="2" max="2" width="24.8515625" style="0" customWidth="1"/>
    <col min="3" max="3" width="22.57421875" style="0" customWidth="1"/>
    <col min="4" max="4" width="13.8515625" style="119" customWidth="1"/>
    <col min="5" max="5" width="15.7109375" style="0" customWidth="1"/>
    <col min="6" max="6" width="12.8515625" style="0" customWidth="1"/>
  </cols>
  <sheetData>
    <row r="1" spans="1:6" ht="15">
      <c r="A1" s="148" t="s">
        <v>148</v>
      </c>
      <c r="B1" s="148"/>
      <c r="C1" s="148"/>
      <c r="D1" s="148"/>
      <c r="E1" s="148"/>
      <c r="F1" s="148"/>
    </row>
    <row r="2" spans="1:6" ht="15">
      <c r="A2" s="71" t="s">
        <v>0</v>
      </c>
      <c r="B2" s="72" t="s">
        <v>150</v>
      </c>
      <c r="C2" s="72" t="s">
        <v>151</v>
      </c>
      <c r="D2" s="115" t="s">
        <v>75</v>
      </c>
      <c r="E2" s="73" t="s">
        <v>95</v>
      </c>
      <c r="F2" s="73" t="s">
        <v>8</v>
      </c>
    </row>
    <row r="3" spans="1:6" ht="15">
      <c r="A3" s="74">
        <v>43465</v>
      </c>
      <c r="B3" s="3" t="s">
        <v>152</v>
      </c>
      <c r="C3" s="25" t="s">
        <v>153</v>
      </c>
      <c r="D3" s="116">
        <v>22000</v>
      </c>
      <c r="E3" s="75">
        <v>22000</v>
      </c>
      <c r="F3" s="75">
        <f>D3-E3</f>
        <v>0</v>
      </c>
    </row>
    <row r="4" spans="1:6" ht="15">
      <c r="A4" s="74">
        <v>43466</v>
      </c>
      <c r="B4" s="25" t="s">
        <v>166</v>
      </c>
      <c r="C4" s="25" t="s">
        <v>154</v>
      </c>
      <c r="D4" s="116">
        <v>85000</v>
      </c>
      <c r="E4" s="75">
        <v>85000</v>
      </c>
      <c r="F4" s="75">
        <f>F3+D4-E4</f>
        <v>0</v>
      </c>
    </row>
    <row r="5" spans="1:6" ht="15">
      <c r="A5" s="74">
        <v>43467</v>
      </c>
      <c r="B5" s="31"/>
      <c r="C5" s="25" t="s">
        <v>155</v>
      </c>
      <c r="D5" s="116">
        <v>17102</v>
      </c>
      <c r="E5" s="75">
        <v>0</v>
      </c>
      <c r="F5" s="75">
        <f aca="true" t="shared" si="0" ref="F5:F28">F4+D5-E5</f>
        <v>17102</v>
      </c>
    </row>
    <row r="6" spans="1:6" ht="15">
      <c r="A6" s="74">
        <v>43468</v>
      </c>
      <c r="B6" s="3" t="s">
        <v>156</v>
      </c>
      <c r="C6" s="25" t="s">
        <v>157</v>
      </c>
      <c r="D6" s="116">
        <v>9500</v>
      </c>
      <c r="E6" s="75">
        <v>0</v>
      </c>
      <c r="F6" s="75">
        <f t="shared" si="0"/>
        <v>26602</v>
      </c>
    </row>
    <row r="7" spans="1:6" ht="15">
      <c r="A7" s="74">
        <v>43469</v>
      </c>
      <c r="B7" s="3" t="s">
        <v>174</v>
      </c>
      <c r="C7" s="25" t="s">
        <v>158</v>
      </c>
      <c r="D7" s="116">
        <v>7500</v>
      </c>
      <c r="E7" s="75">
        <v>0</v>
      </c>
      <c r="F7" s="75">
        <f t="shared" si="0"/>
        <v>34102</v>
      </c>
    </row>
    <row r="8" spans="1:6" ht="15.75" thickBot="1">
      <c r="A8" s="120"/>
      <c r="B8" s="121" t="s">
        <v>160</v>
      </c>
      <c r="C8" s="124"/>
      <c r="D8" s="130" t="s">
        <v>175</v>
      </c>
      <c r="E8" s="123" t="s">
        <v>178</v>
      </c>
      <c r="F8" s="131"/>
    </row>
    <row r="9" spans="1:6" ht="15">
      <c r="A9" s="120"/>
      <c r="B9" s="121"/>
      <c r="C9" s="121"/>
      <c r="D9" s="122"/>
      <c r="F9" s="123"/>
    </row>
    <row r="10" spans="1:6" ht="15.75" thickBot="1">
      <c r="A10" s="120"/>
      <c r="B10" s="121" t="s">
        <v>161</v>
      </c>
      <c r="C10" s="125"/>
      <c r="D10" s="122"/>
      <c r="E10" s="123" t="s">
        <v>179</v>
      </c>
      <c r="F10" s="132"/>
    </row>
    <row r="11" spans="1:6" ht="15">
      <c r="A11" s="120"/>
      <c r="B11" s="121"/>
      <c r="C11" s="121"/>
      <c r="D11" s="122"/>
      <c r="E11" s="123"/>
      <c r="F11" s="123"/>
    </row>
    <row r="12" spans="1:6" ht="15">
      <c r="A12" s="120"/>
      <c r="B12" s="121"/>
      <c r="C12" s="121"/>
      <c r="D12" s="122"/>
      <c r="E12" s="123"/>
      <c r="F12" s="123"/>
    </row>
    <row r="13" spans="1:6" ht="15">
      <c r="A13" s="147" t="s">
        <v>149</v>
      </c>
      <c r="B13" s="147"/>
      <c r="C13" s="147"/>
      <c r="D13" s="147"/>
      <c r="E13" s="147"/>
      <c r="F13" s="147"/>
    </row>
    <row r="14" spans="1:6" ht="15">
      <c r="A14" s="74">
        <v>43470</v>
      </c>
      <c r="B14" s="3" t="s">
        <v>159</v>
      </c>
      <c r="C14" s="25" t="s">
        <v>153</v>
      </c>
      <c r="D14" s="116">
        <v>10087</v>
      </c>
      <c r="E14" s="75">
        <v>0</v>
      </c>
      <c r="F14" s="75">
        <f>F7+D14-E14</f>
        <v>44189</v>
      </c>
    </row>
    <row r="15" spans="1:6" ht="15">
      <c r="A15" s="74">
        <v>43471</v>
      </c>
      <c r="B15" s="31"/>
      <c r="C15" s="30"/>
      <c r="D15" s="116"/>
      <c r="E15" s="75"/>
      <c r="F15" s="75">
        <f t="shared" si="0"/>
        <v>44189</v>
      </c>
    </row>
    <row r="16" spans="1:6" ht="15">
      <c r="A16" s="74">
        <v>43472</v>
      </c>
      <c r="B16" s="31"/>
      <c r="C16" s="30"/>
      <c r="D16" s="116"/>
      <c r="E16" s="75"/>
      <c r="F16" s="75">
        <f t="shared" si="0"/>
        <v>44189</v>
      </c>
    </row>
    <row r="17" spans="1:6" ht="15">
      <c r="A17" s="74">
        <v>43473</v>
      </c>
      <c r="B17" s="3" t="s">
        <v>152</v>
      </c>
      <c r="C17" s="25" t="s">
        <v>153</v>
      </c>
      <c r="D17" s="116">
        <v>18102</v>
      </c>
      <c r="E17" s="75">
        <v>0</v>
      </c>
      <c r="F17" s="75">
        <f t="shared" si="0"/>
        <v>62291</v>
      </c>
    </row>
    <row r="18" spans="1:6" ht="15">
      <c r="A18" s="74">
        <v>43474</v>
      </c>
      <c r="B18" s="31"/>
      <c r="C18" s="30"/>
      <c r="D18" s="116"/>
      <c r="E18" s="75"/>
      <c r="F18" s="75">
        <f t="shared" si="0"/>
        <v>62291</v>
      </c>
    </row>
    <row r="19" spans="1:6" ht="15">
      <c r="A19" s="74">
        <v>43475</v>
      </c>
      <c r="B19" s="31"/>
      <c r="C19" s="30"/>
      <c r="D19" s="116"/>
      <c r="E19" s="75"/>
      <c r="F19" s="75">
        <f t="shared" si="0"/>
        <v>62291</v>
      </c>
    </row>
    <row r="20" spans="1:6" ht="15">
      <c r="A20" s="74">
        <v>43476</v>
      </c>
      <c r="B20" s="3" t="s">
        <v>170</v>
      </c>
      <c r="C20" s="25" t="s">
        <v>167</v>
      </c>
      <c r="D20" s="116">
        <v>100000</v>
      </c>
      <c r="E20" s="75">
        <v>0</v>
      </c>
      <c r="F20" s="75">
        <f t="shared" si="0"/>
        <v>162291</v>
      </c>
    </row>
    <row r="21" spans="1:6" ht="15">
      <c r="A21" s="74">
        <v>43477</v>
      </c>
      <c r="B21" s="31"/>
      <c r="C21" s="30"/>
      <c r="D21" s="116"/>
      <c r="E21" s="75"/>
      <c r="F21" s="75">
        <f t="shared" si="0"/>
        <v>162291</v>
      </c>
    </row>
    <row r="22" spans="1:6" ht="15">
      <c r="A22" s="74">
        <v>43478</v>
      </c>
      <c r="B22" s="31"/>
      <c r="C22" s="30"/>
      <c r="D22" s="116"/>
      <c r="E22" s="75"/>
      <c r="F22" s="75">
        <f t="shared" si="0"/>
        <v>162291</v>
      </c>
    </row>
    <row r="23" spans="1:6" ht="15">
      <c r="A23" s="74">
        <v>43479</v>
      </c>
      <c r="B23" s="31"/>
      <c r="C23" s="30"/>
      <c r="D23" s="116"/>
      <c r="E23" s="75"/>
      <c r="F23" s="75">
        <f t="shared" si="0"/>
        <v>162291</v>
      </c>
    </row>
    <row r="24" spans="1:6" ht="15">
      <c r="A24" s="74">
        <v>43480</v>
      </c>
      <c r="B24" s="3" t="s">
        <v>176</v>
      </c>
      <c r="C24" s="25" t="s">
        <v>168</v>
      </c>
      <c r="D24" s="116">
        <v>40000</v>
      </c>
      <c r="E24" s="75">
        <v>0</v>
      </c>
      <c r="F24" s="75">
        <f t="shared" si="0"/>
        <v>202291</v>
      </c>
    </row>
    <row r="25" spans="1:6" ht="15">
      <c r="A25" s="127" t="s">
        <v>172</v>
      </c>
      <c r="B25" s="3" t="s">
        <v>173</v>
      </c>
      <c r="C25" s="25" t="s">
        <v>167</v>
      </c>
      <c r="D25" s="116">
        <v>20102</v>
      </c>
      <c r="E25" s="75">
        <v>0</v>
      </c>
      <c r="F25" s="75">
        <f t="shared" si="0"/>
        <v>222393</v>
      </c>
    </row>
    <row r="26" spans="1:6" ht="15">
      <c r="A26" s="127" t="s">
        <v>172</v>
      </c>
      <c r="B26" s="3" t="s">
        <v>177</v>
      </c>
      <c r="C26" s="25" t="s">
        <v>163</v>
      </c>
      <c r="D26" s="116">
        <v>30105</v>
      </c>
      <c r="E26" s="75">
        <v>0</v>
      </c>
      <c r="F26" s="75">
        <f t="shared" si="0"/>
        <v>252498</v>
      </c>
    </row>
    <row r="27" spans="1:6" ht="15">
      <c r="A27" s="127" t="s">
        <v>172</v>
      </c>
      <c r="B27" s="3" t="s">
        <v>171</v>
      </c>
      <c r="C27" s="25" t="s">
        <v>164</v>
      </c>
      <c r="D27" s="116">
        <v>2041</v>
      </c>
      <c r="E27" s="75">
        <v>0</v>
      </c>
      <c r="F27" s="75">
        <f t="shared" si="0"/>
        <v>254539</v>
      </c>
    </row>
    <row r="28" spans="1:6" ht="15">
      <c r="A28" s="74"/>
      <c r="B28" s="3" t="s">
        <v>174</v>
      </c>
      <c r="C28" s="25" t="s">
        <v>158</v>
      </c>
      <c r="D28" s="116">
        <v>1000</v>
      </c>
      <c r="E28" s="75">
        <v>255434</v>
      </c>
      <c r="F28" s="75">
        <f t="shared" si="0"/>
        <v>105</v>
      </c>
    </row>
    <row r="29" spans="1:6" ht="15">
      <c r="A29" s="76"/>
      <c r="B29" s="77">
        <f>SUM(B3:B28)</f>
        <v>0</v>
      </c>
      <c r="C29" s="15">
        <f>SUM(C3:C28)</f>
        <v>0</v>
      </c>
      <c r="D29" s="117">
        <f>SUM(D3:D28)</f>
        <v>362539</v>
      </c>
      <c r="E29" s="75"/>
      <c r="F29" s="75"/>
    </row>
    <row r="30" ht="15">
      <c r="C30" s="29"/>
    </row>
    <row r="31" spans="1:6" ht="15.75" thickBot="1">
      <c r="A31" s="120"/>
      <c r="B31" s="121" t="s">
        <v>160</v>
      </c>
      <c r="C31" s="125"/>
      <c r="D31" s="130" t="s">
        <v>175</v>
      </c>
      <c r="E31" s="123" t="s">
        <v>178</v>
      </c>
      <c r="F31" s="131"/>
    </row>
    <row r="32" spans="1:6" ht="15">
      <c r="A32" s="120"/>
      <c r="B32" s="121"/>
      <c r="C32" s="121"/>
      <c r="D32" s="122"/>
      <c r="F32" s="123"/>
    </row>
    <row r="33" spans="1:6" ht="15.75" thickBot="1">
      <c r="A33" s="120"/>
      <c r="B33" s="121" t="s">
        <v>161</v>
      </c>
      <c r="C33" s="125"/>
      <c r="D33" s="122"/>
      <c r="E33" s="123" t="s">
        <v>179</v>
      </c>
      <c r="F33" s="132"/>
    </row>
    <row r="34" spans="2:5" ht="18">
      <c r="B34" s="91"/>
      <c r="C34" s="90"/>
      <c r="D34" s="118"/>
      <c r="E34" s="23"/>
    </row>
    <row r="35" spans="1:6" ht="15">
      <c r="A35" s="147" t="s">
        <v>186</v>
      </c>
      <c r="B35" s="147"/>
      <c r="C35" s="147"/>
      <c r="D35" s="147"/>
      <c r="E35" s="147"/>
      <c r="F35" s="147"/>
    </row>
    <row r="36" spans="1:6" ht="15">
      <c r="A36" s="74">
        <v>43490</v>
      </c>
      <c r="B36" s="3" t="s">
        <v>187</v>
      </c>
      <c r="C36" s="25" t="s">
        <v>163</v>
      </c>
      <c r="D36" s="141">
        <f>12000+15000+97+57</f>
        <v>27154</v>
      </c>
      <c r="E36" s="75"/>
      <c r="F36" s="75">
        <f>F29+D36-E36</f>
        <v>27154</v>
      </c>
    </row>
    <row r="37" spans="1:6" ht="15">
      <c r="A37" s="74">
        <v>43491</v>
      </c>
      <c r="B37" s="31"/>
      <c r="C37" s="30"/>
      <c r="D37" s="116"/>
      <c r="E37" s="75"/>
      <c r="F37" s="75">
        <f aca="true" t="shared" si="1" ref="F37:F55">F36+D37-E37</f>
        <v>27154</v>
      </c>
    </row>
    <row r="38" spans="1:6" ht="15">
      <c r="A38" s="74">
        <v>43492</v>
      </c>
      <c r="B38" s="31"/>
      <c r="C38" s="30"/>
      <c r="D38" s="116"/>
      <c r="E38" s="75"/>
      <c r="F38" s="75">
        <f t="shared" si="1"/>
        <v>27154</v>
      </c>
    </row>
    <row r="39" spans="1:6" ht="15">
      <c r="A39" s="74">
        <v>43493</v>
      </c>
      <c r="B39" s="3" t="s">
        <v>188</v>
      </c>
      <c r="C39" s="25" t="s">
        <v>167</v>
      </c>
      <c r="D39" s="116">
        <f>50000+105</f>
        <v>50105</v>
      </c>
      <c r="E39" s="75"/>
      <c r="F39" s="75">
        <f t="shared" si="1"/>
        <v>77259</v>
      </c>
    </row>
    <row r="40" spans="1:6" ht="15">
      <c r="A40" s="74">
        <v>43494</v>
      </c>
      <c r="B40" s="3" t="s">
        <v>188</v>
      </c>
      <c r="C40" s="25" t="s">
        <v>167</v>
      </c>
      <c r="D40" s="116">
        <f>40000+105</f>
        <v>40105</v>
      </c>
      <c r="E40" s="75"/>
      <c r="F40" s="75">
        <f t="shared" si="1"/>
        <v>117364</v>
      </c>
    </row>
    <row r="41" spans="1:6" ht="15">
      <c r="A41" s="74">
        <v>43495</v>
      </c>
      <c r="B41" s="3" t="s">
        <v>188</v>
      </c>
      <c r="C41" s="25" t="s">
        <v>167</v>
      </c>
      <c r="D41" s="116">
        <f>20000+97</f>
        <v>20097</v>
      </c>
      <c r="E41" s="75"/>
      <c r="F41" s="75">
        <f t="shared" si="1"/>
        <v>137461</v>
      </c>
    </row>
    <row r="42" spans="1:6" ht="15">
      <c r="A42" s="74">
        <v>43496</v>
      </c>
      <c r="B42" s="3" t="s">
        <v>188</v>
      </c>
      <c r="C42" s="25" t="s">
        <v>167</v>
      </c>
      <c r="D42" s="116">
        <f>8000+57</f>
        <v>8057</v>
      </c>
      <c r="E42" s="75"/>
      <c r="F42" s="75">
        <f t="shared" si="1"/>
        <v>145518</v>
      </c>
    </row>
    <row r="43" spans="1:6" ht="15">
      <c r="A43" s="74">
        <v>43497</v>
      </c>
      <c r="B43" s="3" t="s">
        <v>189</v>
      </c>
      <c r="C43" s="25" t="s">
        <v>167</v>
      </c>
      <c r="D43" s="116">
        <v>140000</v>
      </c>
      <c r="E43" s="75"/>
      <c r="F43" s="75">
        <f t="shared" si="1"/>
        <v>285518</v>
      </c>
    </row>
    <row r="44" spans="1:6" ht="15">
      <c r="A44" s="127" t="s">
        <v>172</v>
      </c>
      <c r="B44" s="3" t="s">
        <v>190</v>
      </c>
      <c r="C44" s="25" t="s">
        <v>164</v>
      </c>
      <c r="D44" s="116">
        <v>650</v>
      </c>
      <c r="E44" s="75"/>
      <c r="F44" s="75">
        <f t="shared" si="1"/>
        <v>286168</v>
      </c>
    </row>
    <row r="45" spans="1:6" ht="15">
      <c r="A45" s="127" t="s">
        <v>172</v>
      </c>
      <c r="B45" s="3" t="s">
        <v>188</v>
      </c>
      <c r="C45" s="25" t="s">
        <v>163</v>
      </c>
      <c r="D45" s="116">
        <v>12057</v>
      </c>
      <c r="E45" s="75"/>
      <c r="F45" s="75">
        <f t="shared" si="1"/>
        <v>298225</v>
      </c>
    </row>
    <row r="46" spans="1:6" ht="15">
      <c r="A46" s="74">
        <v>43498</v>
      </c>
      <c r="B46" s="3" t="s">
        <v>190</v>
      </c>
      <c r="C46" s="25" t="s">
        <v>164</v>
      </c>
      <c r="D46" s="116">
        <v>650</v>
      </c>
      <c r="E46" s="75"/>
      <c r="F46" s="75">
        <f t="shared" si="1"/>
        <v>298875</v>
      </c>
    </row>
    <row r="47" spans="1:6" ht="15">
      <c r="A47" s="74">
        <v>43500</v>
      </c>
      <c r="B47" s="3" t="s">
        <v>191</v>
      </c>
      <c r="C47" s="25" t="s">
        <v>164</v>
      </c>
      <c r="D47" s="116">
        <v>1000</v>
      </c>
      <c r="E47" s="75"/>
      <c r="F47" s="75">
        <f t="shared" si="1"/>
        <v>299875</v>
      </c>
    </row>
    <row r="48" spans="1:6" ht="15">
      <c r="A48" s="127" t="s">
        <v>172</v>
      </c>
      <c r="B48" s="3" t="s">
        <v>190</v>
      </c>
      <c r="C48" s="25" t="s">
        <v>164</v>
      </c>
      <c r="D48" s="116">
        <v>530</v>
      </c>
      <c r="E48" s="75"/>
      <c r="F48" s="75">
        <f t="shared" si="1"/>
        <v>300405</v>
      </c>
    </row>
    <row r="49" spans="1:6" ht="15">
      <c r="A49" s="127">
        <v>43501</v>
      </c>
      <c r="B49" s="3" t="s">
        <v>192</v>
      </c>
      <c r="C49" s="25" t="s">
        <v>193</v>
      </c>
      <c r="D49" s="116">
        <v>7075</v>
      </c>
      <c r="E49" s="75"/>
      <c r="F49" s="75">
        <f t="shared" si="1"/>
        <v>307480</v>
      </c>
    </row>
    <row r="50" spans="1:6" ht="15">
      <c r="A50" s="127">
        <v>43502</v>
      </c>
      <c r="B50" s="3" t="s">
        <v>188</v>
      </c>
      <c r="C50" s="25" t="s">
        <v>167</v>
      </c>
      <c r="D50" s="116">
        <v>3056</v>
      </c>
      <c r="E50" s="75"/>
      <c r="F50" s="75">
        <f t="shared" si="1"/>
        <v>310536</v>
      </c>
    </row>
    <row r="51" spans="1:6" ht="15">
      <c r="A51" s="127">
        <v>43504</v>
      </c>
      <c r="B51" s="3" t="s">
        <v>188</v>
      </c>
      <c r="C51" s="25" t="s">
        <v>167</v>
      </c>
      <c r="D51" s="116">
        <f>2000+1000+41+15</f>
        <v>3056</v>
      </c>
      <c r="E51" s="75"/>
      <c r="F51" s="75">
        <f t="shared" si="1"/>
        <v>313592</v>
      </c>
    </row>
    <row r="52" spans="1:6" ht="15">
      <c r="A52" s="127" t="s">
        <v>172</v>
      </c>
      <c r="B52" s="3" t="s">
        <v>194</v>
      </c>
      <c r="C52" s="25" t="s">
        <v>163</v>
      </c>
      <c r="D52" s="116">
        <v>5700</v>
      </c>
      <c r="E52" s="75"/>
      <c r="F52" s="75">
        <f t="shared" si="1"/>
        <v>319292</v>
      </c>
    </row>
    <row r="53" spans="1:6" ht="15">
      <c r="A53" s="127"/>
      <c r="B53" s="3"/>
      <c r="C53" s="25"/>
      <c r="D53" s="116"/>
      <c r="E53" s="75"/>
      <c r="F53" s="75">
        <f t="shared" si="1"/>
        <v>319292</v>
      </c>
    </row>
    <row r="54" spans="1:6" ht="15">
      <c r="A54" s="127"/>
      <c r="B54" s="3"/>
      <c r="C54" s="25"/>
      <c r="D54" s="116"/>
      <c r="E54" s="75"/>
      <c r="F54" s="75">
        <f t="shared" si="1"/>
        <v>319292</v>
      </c>
    </row>
    <row r="55" spans="1:6" ht="15">
      <c r="A55" s="74"/>
      <c r="B55" s="3"/>
      <c r="C55" s="25"/>
      <c r="D55" s="116"/>
      <c r="E55" s="75"/>
      <c r="F55" s="75">
        <f t="shared" si="1"/>
        <v>319292</v>
      </c>
    </row>
    <row r="56" spans="1:6" ht="15">
      <c r="A56" s="76"/>
      <c r="B56" s="77">
        <f>SUM(B25:B55)</f>
        <v>0</v>
      </c>
      <c r="C56" s="15">
        <f>SUM(C25:C55)</f>
        <v>0</v>
      </c>
      <c r="D56" s="117">
        <f>SUM(D36:D55)</f>
        <v>319292</v>
      </c>
      <c r="E56" s="75"/>
      <c r="F56" s="75"/>
    </row>
    <row r="57" ht="15">
      <c r="C57" s="29"/>
    </row>
    <row r="58" spans="1:6" ht="15.75" thickBot="1">
      <c r="A58" s="120"/>
      <c r="B58" s="121" t="s">
        <v>160</v>
      </c>
      <c r="C58" s="125"/>
      <c r="D58" s="130" t="s">
        <v>175</v>
      </c>
      <c r="E58" s="123" t="s">
        <v>178</v>
      </c>
      <c r="F58" s="131"/>
    </row>
    <row r="59" spans="1:6" ht="15">
      <c r="A59" s="120"/>
      <c r="B59" s="121"/>
      <c r="C59" s="121"/>
      <c r="D59" s="122"/>
      <c r="F59" s="123"/>
    </row>
    <row r="60" spans="1:6" ht="15.75" thickBot="1">
      <c r="A60" s="120"/>
      <c r="B60" s="121" t="s">
        <v>161</v>
      </c>
      <c r="C60" s="125"/>
      <c r="D60" s="122"/>
      <c r="E60" s="123" t="s">
        <v>179</v>
      </c>
      <c r="F60" s="132"/>
    </row>
  </sheetData>
  <sheetProtection/>
  <mergeCells count="3">
    <mergeCell ref="A13:F13"/>
    <mergeCell ref="A1:F1"/>
    <mergeCell ref="A35:F35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46"/>
  <sheetViews>
    <sheetView zoomScalePageLayoutView="0" workbookViewId="0" topLeftCell="A10">
      <selection activeCell="D269" sqref="D269"/>
    </sheetView>
  </sheetViews>
  <sheetFormatPr defaultColWidth="9.140625" defaultRowHeight="15"/>
  <cols>
    <col min="1" max="1" width="12.28125" style="0" customWidth="1"/>
    <col min="2" max="2" width="21.421875" style="0" customWidth="1"/>
    <col min="3" max="3" width="8.28125" style="0" customWidth="1"/>
    <col min="4" max="4" width="13.421875" style="0" customWidth="1"/>
    <col min="5" max="5" width="12.28125" style="0" customWidth="1"/>
    <col min="6" max="6" width="16.140625" style="0" customWidth="1"/>
    <col min="7" max="7" width="14.57421875" style="0" customWidth="1"/>
    <col min="8" max="8" width="16.28125" style="0" customWidth="1"/>
    <col min="9" max="9" width="11.28125" style="17" customWidth="1"/>
    <col min="10" max="10" width="14.00390625" style="0" customWidth="1"/>
    <col min="11" max="11" width="23.57421875" style="0" customWidth="1"/>
    <col min="13" max="13" width="13.8515625" style="0" customWidth="1"/>
  </cols>
  <sheetData>
    <row r="1" spans="4:6" ht="15">
      <c r="D1" s="150" t="s">
        <v>33</v>
      </c>
      <c r="E1" s="150"/>
      <c r="F1" s="150"/>
    </row>
    <row r="2" spans="1:12" ht="15">
      <c r="A2" s="1" t="s">
        <v>0</v>
      </c>
      <c r="B2" s="1" t="s">
        <v>2</v>
      </c>
      <c r="C2" s="1" t="s">
        <v>1</v>
      </c>
      <c r="D2" s="1" t="s">
        <v>5</v>
      </c>
      <c r="E2" s="1" t="s">
        <v>6</v>
      </c>
      <c r="F2" s="1" t="s">
        <v>4</v>
      </c>
      <c r="G2" s="1" t="s">
        <v>3</v>
      </c>
      <c r="H2" s="1" t="s">
        <v>9</v>
      </c>
      <c r="I2" s="18" t="s">
        <v>8</v>
      </c>
      <c r="J2" s="1" t="s">
        <v>7</v>
      </c>
      <c r="K2" t="s">
        <v>28</v>
      </c>
      <c r="L2" s="1"/>
    </row>
    <row r="3" spans="1:14" ht="15">
      <c r="A3" s="2"/>
      <c r="B3" s="3"/>
      <c r="C3" s="3"/>
      <c r="D3" s="3"/>
      <c r="E3" s="8">
        <v>0</v>
      </c>
      <c r="F3" s="3"/>
      <c r="G3" s="8"/>
      <c r="H3" s="3"/>
      <c r="I3" s="16"/>
      <c r="J3" s="3">
        <v>997000</v>
      </c>
      <c r="M3" s="12" t="s">
        <v>15</v>
      </c>
      <c r="N3">
        <v>612387</v>
      </c>
    </row>
    <row r="4" spans="1:14" ht="15">
      <c r="A4" s="2">
        <v>43154</v>
      </c>
      <c r="B4" s="3">
        <v>10000</v>
      </c>
      <c r="C4" s="3">
        <v>87</v>
      </c>
      <c r="D4" s="3">
        <v>106</v>
      </c>
      <c r="E4" s="3">
        <v>18000</v>
      </c>
      <c r="F4" s="3">
        <f aca="true" t="shared" si="0" ref="F4:F17">C4*D4</f>
        <v>9222</v>
      </c>
      <c r="G4" s="3"/>
      <c r="H4" s="3">
        <f>F4-E4</f>
        <v>-8778</v>
      </c>
      <c r="I4" s="16">
        <f>F4-E4-G4</f>
        <v>-8778</v>
      </c>
      <c r="J4" s="3"/>
      <c r="M4" t="s">
        <v>14</v>
      </c>
      <c r="N4">
        <v>23055</v>
      </c>
    </row>
    <row r="5" spans="1:14" ht="15">
      <c r="A5" s="2">
        <v>43155</v>
      </c>
      <c r="B5" s="3">
        <f>B4-C4</f>
        <v>9913</v>
      </c>
      <c r="C5" s="3">
        <v>1794</v>
      </c>
      <c r="D5" s="3">
        <v>106</v>
      </c>
      <c r="E5" s="3">
        <v>9333</v>
      </c>
      <c r="F5" s="3">
        <f t="shared" si="0"/>
        <v>190164</v>
      </c>
      <c r="G5" s="3">
        <v>70000</v>
      </c>
      <c r="H5" s="3">
        <f aca="true" t="shared" si="1" ref="H5:H16">H4+F5-E5</f>
        <v>172053</v>
      </c>
      <c r="I5" s="16">
        <f aca="true" t="shared" si="2" ref="I5:I16">I4+F5-E5-G5</f>
        <v>102053</v>
      </c>
      <c r="J5" s="3"/>
      <c r="M5" t="s">
        <v>4</v>
      </c>
      <c r="N5">
        <v>27700</v>
      </c>
    </row>
    <row r="6" spans="1:14" ht="15">
      <c r="A6" s="2">
        <v>43156</v>
      </c>
      <c r="B6" s="3">
        <f>B5-C5</f>
        <v>8119</v>
      </c>
      <c r="C6" s="3">
        <v>595</v>
      </c>
      <c r="D6" s="3">
        <v>106</v>
      </c>
      <c r="E6" s="3">
        <v>0</v>
      </c>
      <c r="F6" s="3">
        <f t="shared" si="0"/>
        <v>63070</v>
      </c>
      <c r="G6" s="3">
        <v>4643</v>
      </c>
      <c r="H6" s="3">
        <f t="shared" si="1"/>
        <v>235123</v>
      </c>
      <c r="I6" s="16">
        <f t="shared" si="2"/>
        <v>160480</v>
      </c>
      <c r="J6" s="3"/>
      <c r="M6" t="s">
        <v>6</v>
      </c>
      <c r="N6">
        <v>45755</v>
      </c>
    </row>
    <row r="7" spans="1:14" ht="15">
      <c r="A7" s="2">
        <v>43157</v>
      </c>
      <c r="B7" s="3">
        <f aca="true" t="shared" si="3" ref="B7:B16">B6-C6</f>
        <v>7524</v>
      </c>
      <c r="C7" s="3">
        <v>1028</v>
      </c>
      <c r="D7" s="3">
        <v>106</v>
      </c>
      <c r="E7" s="3">
        <v>600</v>
      </c>
      <c r="F7" s="3">
        <f t="shared" si="0"/>
        <v>108968</v>
      </c>
      <c r="G7" s="3">
        <v>70000</v>
      </c>
      <c r="H7" s="3">
        <f t="shared" si="1"/>
        <v>343491</v>
      </c>
      <c r="I7" s="16">
        <f t="shared" si="2"/>
        <v>198848</v>
      </c>
      <c r="J7" s="3"/>
      <c r="M7" t="s">
        <v>13</v>
      </c>
      <c r="N7" s="12">
        <f>N3-N4-N5-N6</f>
        <v>515877</v>
      </c>
    </row>
    <row r="8" spans="1:10" ht="15">
      <c r="A8" s="2">
        <v>43158</v>
      </c>
      <c r="B8" s="3">
        <f t="shared" si="3"/>
        <v>6496</v>
      </c>
      <c r="C8" s="3">
        <v>662</v>
      </c>
      <c r="D8" s="3">
        <v>106</v>
      </c>
      <c r="E8" s="3">
        <v>286</v>
      </c>
      <c r="F8" s="3">
        <f t="shared" si="0"/>
        <v>70172</v>
      </c>
      <c r="G8" s="3">
        <v>70000</v>
      </c>
      <c r="H8" s="3">
        <f t="shared" si="1"/>
        <v>413377</v>
      </c>
      <c r="I8" s="16">
        <f t="shared" si="2"/>
        <v>198734</v>
      </c>
      <c r="J8" s="3"/>
    </row>
    <row r="9" spans="1:10" ht="15">
      <c r="A9" s="2">
        <v>43159</v>
      </c>
      <c r="B9" s="3">
        <f t="shared" si="3"/>
        <v>5834</v>
      </c>
      <c r="C9" s="3">
        <v>1319</v>
      </c>
      <c r="D9" s="3">
        <v>106</v>
      </c>
      <c r="E9" s="3">
        <v>0</v>
      </c>
      <c r="F9" s="3">
        <f t="shared" si="0"/>
        <v>139814</v>
      </c>
      <c r="G9" s="3">
        <v>15874</v>
      </c>
      <c r="H9" s="3">
        <f t="shared" si="1"/>
        <v>553191</v>
      </c>
      <c r="I9" s="16">
        <f t="shared" si="2"/>
        <v>322674</v>
      </c>
      <c r="J9" s="3"/>
    </row>
    <row r="10" spans="1:10" ht="15">
      <c r="A10" s="2">
        <v>43160</v>
      </c>
      <c r="B10" s="3">
        <f t="shared" si="3"/>
        <v>4515</v>
      </c>
      <c r="C10" s="3">
        <v>518</v>
      </c>
      <c r="D10" s="3">
        <v>106</v>
      </c>
      <c r="E10" s="3">
        <v>0</v>
      </c>
      <c r="F10" s="3">
        <f t="shared" si="0"/>
        <v>54908</v>
      </c>
      <c r="G10" s="3">
        <v>43524</v>
      </c>
      <c r="H10" s="3">
        <f t="shared" si="1"/>
        <v>608099</v>
      </c>
      <c r="I10" s="16">
        <f t="shared" si="2"/>
        <v>334058</v>
      </c>
      <c r="J10" s="3"/>
    </row>
    <row r="11" spans="1:10" ht="15">
      <c r="A11" s="2">
        <v>43161</v>
      </c>
      <c r="B11" s="3">
        <f t="shared" si="3"/>
        <v>3997</v>
      </c>
      <c r="C11" s="3">
        <v>380</v>
      </c>
      <c r="D11" s="3">
        <v>106</v>
      </c>
      <c r="E11" s="3">
        <v>55540</v>
      </c>
      <c r="F11" s="3">
        <f t="shared" si="0"/>
        <v>40280</v>
      </c>
      <c r="G11" s="3">
        <f>8850+28893+10000</f>
        <v>47743</v>
      </c>
      <c r="H11" s="3">
        <f t="shared" si="1"/>
        <v>592839</v>
      </c>
      <c r="I11" s="16">
        <f t="shared" si="2"/>
        <v>271055</v>
      </c>
      <c r="J11" s="3"/>
    </row>
    <row r="12" spans="1:10" ht="15">
      <c r="A12" s="2">
        <v>43162</v>
      </c>
      <c r="B12" s="3">
        <f t="shared" si="3"/>
        <v>3617</v>
      </c>
      <c r="C12" s="3">
        <v>534</v>
      </c>
      <c r="D12" s="3">
        <v>106</v>
      </c>
      <c r="E12" s="3">
        <v>1000</v>
      </c>
      <c r="F12" s="3">
        <f t="shared" si="0"/>
        <v>56604</v>
      </c>
      <c r="G12" s="3">
        <v>77500</v>
      </c>
      <c r="H12" s="3">
        <f t="shared" si="1"/>
        <v>648443</v>
      </c>
      <c r="I12" s="16">
        <f t="shared" si="2"/>
        <v>249159</v>
      </c>
      <c r="J12" s="3"/>
    </row>
    <row r="13" spans="1:11" ht="15">
      <c r="A13" s="2">
        <v>43163</v>
      </c>
      <c r="B13" s="3">
        <f t="shared" si="3"/>
        <v>3083</v>
      </c>
      <c r="C13" s="3">
        <v>1561</v>
      </c>
      <c r="D13" s="3">
        <v>106</v>
      </c>
      <c r="E13" s="3">
        <v>24250</v>
      </c>
      <c r="F13" s="3">
        <f t="shared" si="0"/>
        <v>165466</v>
      </c>
      <c r="G13" s="3">
        <f>48160+70000+15000</f>
        <v>133160</v>
      </c>
      <c r="H13" s="3">
        <f t="shared" si="1"/>
        <v>789659</v>
      </c>
      <c r="I13" s="16">
        <f t="shared" si="2"/>
        <v>257215</v>
      </c>
      <c r="J13" s="3"/>
      <c r="K13" t="s">
        <v>27</v>
      </c>
    </row>
    <row r="14" spans="1:10" ht="15">
      <c r="A14" s="2">
        <v>43164</v>
      </c>
      <c r="B14" s="3">
        <f t="shared" si="3"/>
        <v>1522</v>
      </c>
      <c r="C14" s="3">
        <v>964</v>
      </c>
      <c r="D14" s="3">
        <v>106</v>
      </c>
      <c r="E14" s="3">
        <v>4000</v>
      </c>
      <c r="F14" s="3">
        <f t="shared" si="0"/>
        <v>102184</v>
      </c>
      <c r="G14" s="3">
        <f>10597+39921</f>
        <v>50518</v>
      </c>
      <c r="H14" s="3">
        <f t="shared" si="1"/>
        <v>887843</v>
      </c>
      <c r="I14" s="16">
        <f t="shared" si="2"/>
        <v>304881</v>
      </c>
      <c r="J14" s="3"/>
    </row>
    <row r="15" spans="1:10" ht="15">
      <c r="A15" s="2">
        <v>43165</v>
      </c>
      <c r="B15" s="3">
        <f>B14-C14</f>
        <v>558</v>
      </c>
      <c r="C15" s="3">
        <v>425</v>
      </c>
      <c r="D15" s="3">
        <v>106</v>
      </c>
      <c r="E15" s="3">
        <v>300</v>
      </c>
      <c r="F15" s="3">
        <f t="shared" si="0"/>
        <v>45050</v>
      </c>
      <c r="G15" s="3">
        <v>80312</v>
      </c>
      <c r="H15" s="3">
        <f t="shared" si="1"/>
        <v>932593</v>
      </c>
      <c r="I15" s="16">
        <f t="shared" si="2"/>
        <v>269319</v>
      </c>
      <c r="J15" s="3"/>
    </row>
    <row r="16" spans="1:10" ht="15">
      <c r="A16" s="2">
        <v>43166</v>
      </c>
      <c r="B16" s="3">
        <f t="shared" si="3"/>
        <v>133</v>
      </c>
      <c r="C16" s="3">
        <v>129</v>
      </c>
      <c r="D16" s="3">
        <v>106</v>
      </c>
      <c r="E16" s="3">
        <v>3000</v>
      </c>
      <c r="F16" s="3">
        <v>0</v>
      </c>
      <c r="G16" s="3">
        <v>4756</v>
      </c>
      <c r="H16" s="3">
        <f t="shared" si="1"/>
        <v>929593</v>
      </c>
      <c r="I16" s="16">
        <f t="shared" si="2"/>
        <v>261563</v>
      </c>
      <c r="J16" s="3"/>
    </row>
    <row r="17" spans="1:10" ht="15">
      <c r="A17" s="2">
        <v>43169</v>
      </c>
      <c r="B17" s="3">
        <v>0</v>
      </c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/>
      <c r="I17" s="16"/>
      <c r="J17" s="3"/>
    </row>
    <row r="18" spans="1:10" ht="15">
      <c r="A18" s="2"/>
      <c r="B18" s="3"/>
      <c r="C18" s="3"/>
      <c r="D18" s="3"/>
      <c r="E18" s="3"/>
      <c r="F18" s="3"/>
      <c r="G18" s="3"/>
      <c r="H18" s="3"/>
      <c r="I18" s="16"/>
      <c r="J18" s="3"/>
    </row>
    <row r="19" spans="1:10" ht="15">
      <c r="A19" s="2" t="s">
        <v>26</v>
      </c>
      <c r="B19" s="3"/>
      <c r="C19" s="3"/>
      <c r="D19" s="3"/>
      <c r="E19" s="3">
        <f>MWANGULU!H36</f>
        <v>15740</v>
      </c>
      <c r="F19" s="3"/>
      <c r="G19" s="3">
        <f>MWANGULU!G36</f>
        <v>366714</v>
      </c>
      <c r="H19" s="3"/>
      <c r="I19" s="16"/>
      <c r="J19" s="3"/>
    </row>
    <row r="20" spans="1:10" ht="15">
      <c r="A20" s="2"/>
      <c r="B20" s="3"/>
      <c r="C20" s="3"/>
      <c r="D20" s="3"/>
      <c r="E20" s="3"/>
      <c r="F20" s="3"/>
      <c r="G20" s="3"/>
      <c r="H20" s="3"/>
      <c r="I20" s="16"/>
      <c r="J20" s="3"/>
    </row>
    <row r="21" spans="1:10" s="12" customFormat="1" ht="15.75" thickBot="1">
      <c r="A21" s="33" t="s">
        <v>30</v>
      </c>
      <c r="B21" s="34"/>
      <c r="C21" s="34"/>
      <c r="D21" s="34"/>
      <c r="E21" s="34">
        <f>SUM(E4:E19)</f>
        <v>132049</v>
      </c>
      <c r="F21" s="34">
        <f>SUM(F4:F19)</f>
        <v>1045902</v>
      </c>
      <c r="G21" s="34">
        <f>SUM(G4:G19)</f>
        <v>1034744</v>
      </c>
      <c r="H21" s="34"/>
      <c r="I21" s="35"/>
      <c r="J21" s="34"/>
    </row>
    <row r="22" spans="1:10" ht="15">
      <c r="A22" s="32"/>
      <c r="B22" s="25"/>
      <c r="C22" s="25"/>
      <c r="D22" s="25"/>
      <c r="E22" s="25"/>
      <c r="F22" s="25"/>
      <c r="G22" s="25"/>
      <c r="H22" s="25"/>
      <c r="I22" s="27"/>
      <c r="J22" s="25"/>
    </row>
    <row r="23" spans="6:7" ht="15">
      <c r="F23" s="20"/>
      <c r="G23" s="20"/>
    </row>
    <row r="24" spans="6:8" ht="15">
      <c r="F24" s="20">
        <f>F21-E21</f>
        <v>913853</v>
      </c>
      <c r="G24" s="23">
        <f>G21-J3</f>
        <v>37744</v>
      </c>
      <c r="H24" s="23"/>
    </row>
    <row r="25" spans="1:9" ht="15">
      <c r="A25" s="23"/>
      <c r="C25" s="20"/>
      <c r="G25" s="23"/>
      <c r="H25" s="23"/>
      <c r="I25" s="24"/>
    </row>
    <row r="26" spans="1:8" ht="15">
      <c r="A26" s="23"/>
      <c r="C26" s="20"/>
      <c r="F26" s="23">
        <f>G21-E21</f>
        <v>902695</v>
      </c>
      <c r="G26" s="23">
        <f>F26-J3</f>
        <v>-94305</v>
      </c>
      <c r="H26" s="23"/>
    </row>
    <row r="27" spans="6:8" ht="15">
      <c r="F27" s="23"/>
      <c r="G27" s="23"/>
      <c r="H27" s="23"/>
    </row>
    <row r="28" spans="4:8" ht="23.25">
      <c r="D28" s="149" t="s">
        <v>34</v>
      </c>
      <c r="E28" s="149"/>
      <c r="F28" s="149"/>
      <c r="G28" s="149"/>
      <c r="H28" s="23"/>
    </row>
    <row r="30" spans="1:9" s="12" customFormat="1" ht="15">
      <c r="A30" s="44" t="s">
        <v>0</v>
      </c>
      <c r="B30" s="45" t="s">
        <v>2</v>
      </c>
      <c r="C30" s="45" t="s">
        <v>1</v>
      </c>
      <c r="D30" s="45" t="s">
        <v>5</v>
      </c>
      <c r="E30" s="45" t="s">
        <v>6</v>
      </c>
      <c r="F30" s="45" t="s">
        <v>4</v>
      </c>
      <c r="G30" s="45" t="s">
        <v>3</v>
      </c>
      <c r="H30" s="45" t="s">
        <v>9</v>
      </c>
      <c r="I30" s="46" t="s">
        <v>8</v>
      </c>
    </row>
    <row r="31" spans="1:9" ht="15">
      <c r="A31" s="38"/>
      <c r="B31" s="3">
        <v>10000</v>
      </c>
      <c r="C31" s="28"/>
      <c r="D31" s="28">
        <v>97</v>
      </c>
      <c r="E31" s="50">
        <v>0</v>
      </c>
      <c r="F31" s="50">
        <f>'MAIN DEPOT'!$D31*'MAIN DEPOT'!$B31</f>
        <v>970000</v>
      </c>
      <c r="G31" s="50">
        <v>0</v>
      </c>
      <c r="H31" s="50">
        <f>'MAIN DEPOT'!$G31</f>
        <v>0</v>
      </c>
      <c r="I31" s="51">
        <f>'MAIN DEPOT'!$F31-'MAIN DEPOT'!$E31</f>
        <v>970000</v>
      </c>
    </row>
    <row r="32" spans="1:9" s="29" customFormat="1" ht="15">
      <c r="A32" s="39">
        <v>43166</v>
      </c>
      <c r="B32" s="3">
        <v>10000</v>
      </c>
      <c r="C32" s="3">
        <v>354</v>
      </c>
      <c r="D32" s="3">
        <v>106</v>
      </c>
      <c r="E32" s="31">
        <v>3450</v>
      </c>
      <c r="F32" s="3">
        <f aca="true" t="shared" si="4" ref="F32:F49">C32*D32</f>
        <v>37524</v>
      </c>
      <c r="G32" s="8">
        <v>0</v>
      </c>
      <c r="H32" s="3">
        <f>H31+'MAIN DEPOT'!$G32</f>
        <v>0</v>
      </c>
      <c r="I32" s="42">
        <f>'MAIN DEPOT'!$F32-'MAIN DEPOT'!$G32-'MAIN DEPOT'!$E32</f>
        <v>34074</v>
      </c>
    </row>
    <row r="33" spans="1:10" ht="15">
      <c r="A33" s="40">
        <v>43167</v>
      </c>
      <c r="B33" s="31">
        <f aca="true" t="shared" si="5" ref="B33:B49">B32-C32</f>
        <v>9646</v>
      </c>
      <c r="C33" s="25">
        <v>1335</v>
      </c>
      <c r="D33" s="25">
        <v>106</v>
      </c>
      <c r="E33" s="30">
        <f>3500+2900+2120</f>
        <v>8520</v>
      </c>
      <c r="F33" s="3">
        <f t="shared" si="4"/>
        <v>141510</v>
      </c>
      <c r="G33" s="26">
        <v>0</v>
      </c>
      <c r="H33" s="3">
        <f>H32+'MAIN DEPOT'!$G33</f>
        <v>0</v>
      </c>
      <c r="I33" s="42">
        <f>I32+'MAIN DEPOT'!$F33-'MAIN DEPOT'!$G33-'MAIN DEPOT'!$E33</f>
        <v>167064</v>
      </c>
      <c r="J33" s="54"/>
    </row>
    <row r="34" spans="1:10" ht="15">
      <c r="A34" s="39">
        <v>43168</v>
      </c>
      <c r="B34" s="31">
        <f t="shared" si="5"/>
        <v>8311</v>
      </c>
      <c r="C34" s="3">
        <v>179</v>
      </c>
      <c r="D34" s="25">
        <v>106</v>
      </c>
      <c r="E34" s="3">
        <v>200</v>
      </c>
      <c r="F34" s="3">
        <f t="shared" si="4"/>
        <v>18974</v>
      </c>
      <c r="G34" s="3">
        <v>0</v>
      </c>
      <c r="H34" s="3">
        <f>H33+'MAIN DEPOT'!$G34</f>
        <v>0</v>
      </c>
      <c r="I34" s="42">
        <f>I33+'MAIN DEPOT'!$F34-'MAIN DEPOT'!$G34-'MAIN DEPOT'!$E34</f>
        <v>185838</v>
      </c>
      <c r="J34" s="54"/>
    </row>
    <row r="35" spans="1:9" ht="15">
      <c r="A35" s="39">
        <v>43169</v>
      </c>
      <c r="B35" s="31">
        <f t="shared" si="5"/>
        <v>8132</v>
      </c>
      <c r="C35" s="3">
        <v>628</v>
      </c>
      <c r="D35" s="25">
        <v>106</v>
      </c>
      <c r="E35" s="3">
        <v>500</v>
      </c>
      <c r="F35" s="3">
        <f t="shared" si="4"/>
        <v>66568</v>
      </c>
      <c r="G35" s="3">
        <v>111749</v>
      </c>
      <c r="H35" s="3">
        <f>H34+'MAIN DEPOT'!$G35</f>
        <v>111749</v>
      </c>
      <c r="I35" s="42">
        <f>I34+'MAIN DEPOT'!$F35-'MAIN DEPOT'!$G35-'MAIN DEPOT'!$E35</f>
        <v>140157</v>
      </c>
    </row>
    <row r="36" spans="1:9" ht="15">
      <c r="A36" s="39">
        <v>43170</v>
      </c>
      <c r="B36" s="31">
        <f t="shared" si="5"/>
        <v>7504</v>
      </c>
      <c r="C36" s="3">
        <v>896</v>
      </c>
      <c r="D36" s="25">
        <v>106</v>
      </c>
      <c r="E36" s="3">
        <v>1200</v>
      </c>
      <c r="F36" s="3">
        <f t="shared" si="4"/>
        <v>94976</v>
      </c>
      <c r="G36" s="3">
        <v>67257</v>
      </c>
      <c r="H36" s="3">
        <f>H35+'MAIN DEPOT'!$G36</f>
        <v>179006</v>
      </c>
      <c r="I36" s="42">
        <f>I35+'MAIN DEPOT'!$F36-'MAIN DEPOT'!$G36-'MAIN DEPOT'!$E36</f>
        <v>166676</v>
      </c>
    </row>
    <row r="37" spans="1:9" ht="15">
      <c r="A37" s="39">
        <v>43171</v>
      </c>
      <c r="B37" s="31">
        <f t="shared" si="5"/>
        <v>6608</v>
      </c>
      <c r="C37" s="3">
        <v>619</v>
      </c>
      <c r="D37" s="25">
        <v>106</v>
      </c>
      <c r="E37" s="3">
        <v>0</v>
      </c>
      <c r="F37" s="3">
        <f t="shared" si="4"/>
        <v>65614</v>
      </c>
      <c r="G37" s="3">
        <v>70000</v>
      </c>
      <c r="H37" s="3">
        <f>H36+'MAIN DEPOT'!$G37</f>
        <v>249006</v>
      </c>
      <c r="I37" s="42">
        <f>I36+'MAIN DEPOT'!$F37-'MAIN DEPOT'!$G37-'MAIN DEPOT'!$E37</f>
        <v>162290</v>
      </c>
    </row>
    <row r="38" spans="1:9" ht="15">
      <c r="A38" s="39">
        <v>43172</v>
      </c>
      <c r="B38" s="31">
        <f t="shared" si="5"/>
        <v>5989</v>
      </c>
      <c r="C38" s="3">
        <v>120</v>
      </c>
      <c r="D38" s="25">
        <v>106</v>
      </c>
      <c r="E38" s="3">
        <v>8450</v>
      </c>
      <c r="F38" s="3">
        <f t="shared" si="4"/>
        <v>12720</v>
      </c>
      <c r="G38" s="3">
        <v>42177</v>
      </c>
      <c r="H38" s="3">
        <f>H37+'MAIN DEPOT'!$G38</f>
        <v>291183</v>
      </c>
      <c r="I38" s="42">
        <f>I37+'MAIN DEPOT'!$F38-'MAIN DEPOT'!$G38-'MAIN DEPOT'!$E38</f>
        <v>124383</v>
      </c>
    </row>
    <row r="39" spans="1:9" ht="15">
      <c r="A39" s="39">
        <v>43173</v>
      </c>
      <c r="B39" s="31">
        <f t="shared" si="5"/>
        <v>5869</v>
      </c>
      <c r="C39" s="3">
        <v>327</v>
      </c>
      <c r="D39" s="25">
        <v>106</v>
      </c>
      <c r="E39" s="3">
        <f>3200+150</f>
        <v>3350</v>
      </c>
      <c r="F39" s="3">
        <f t="shared" si="4"/>
        <v>34662</v>
      </c>
      <c r="G39" s="3">
        <v>0</v>
      </c>
      <c r="H39" s="3">
        <f>H38+'MAIN DEPOT'!$G39</f>
        <v>291183</v>
      </c>
      <c r="I39" s="42">
        <f>I38+'MAIN DEPOT'!$F39-'MAIN DEPOT'!$G39-'MAIN DEPOT'!$E39</f>
        <v>155695</v>
      </c>
    </row>
    <row r="40" spans="1:9" ht="15">
      <c r="A40" s="39">
        <v>43174</v>
      </c>
      <c r="B40" s="31">
        <f t="shared" si="5"/>
        <v>5542</v>
      </c>
      <c r="C40" s="3">
        <v>513</v>
      </c>
      <c r="D40" s="25">
        <v>106</v>
      </c>
      <c r="E40" s="3">
        <v>0</v>
      </c>
      <c r="F40" s="3">
        <f t="shared" si="4"/>
        <v>54378</v>
      </c>
      <c r="G40" s="3">
        <v>60875</v>
      </c>
      <c r="H40" s="3">
        <f>H39+'MAIN DEPOT'!$G40</f>
        <v>352058</v>
      </c>
      <c r="I40" s="42">
        <f>I39+'MAIN DEPOT'!$F40-'MAIN DEPOT'!$G40-'MAIN DEPOT'!$E40</f>
        <v>149198</v>
      </c>
    </row>
    <row r="41" spans="1:9" ht="15">
      <c r="A41" s="39">
        <v>43175</v>
      </c>
      <c r="B41" s="31">
        <f t="shared" si="5"/>
        <v>5029</v>
      </c>
      <c r="C41" s="3">
        <v>1418</v>
      </c>
      <c r="D41" s="25">
        <v>106</v>
      </c>
      <c r="E41" s="3">
        <v>0</v>
      </c>
      <c r="F41" s="3">
        <f t="shared" si="4"/>
        <v>150308</v>
      </c>
      <c r="G41" s="3">
        <v>27335</v>
      </c>
      <c r="H41" s="3">
        <f>H40+'MAIN DEPOT'!$G41</f>
        <v>379393</v>
      </c>
      <c r="I41" s="42">
        <f>I40+'MAIN DEPOT'!$F41-'MAIN DEPOT'!$G41-'MAIN DEPOT'!$E41</f>
        <v>272171</v>
      </c>
    </row>
    <row r="42" spans="1:9" ht="15">
      <c r="A42" s="39">
        <v>43176</v>
      </c>
      <c r="B42" s="31">
        <f t="shared" si="5"/>
        <v>3611</v>
      </c>
      <c r="C42" s="3">
        <v>282</v>
      </c>
      <c r="D42" s="25">
        <v>106</v>
      </c>
      <c r="E42" s="3">
        <v>0</v>
      </c>
      <c r="F42" s="3">
        <f t="shared" si="4"/>
        <v>29892</v>
      </c>
      <c r="G42" s="3">
        <v>14862</v>
      </c>
      <c r="H42" s="3">
        <f>H41+'MAIN DEPOT'!$G42</f>
        <v>394255</v>
      </c>
      <c r="I42" s="42">
        <f>I41+'MAIN DEPOT'!$F42-'MAIN DEPOT'!$G42-'MAIN DEPOT'!$E42</f>
        <v>287201</v>
      </c>
    </row>
    <row r="43" spans="1:9" ht="15">
      <c r="A43" s="39">
        <v>43177</v>
      </c>
      <c r="B43" s="31">
        <f t="shared" si="5"/>
        <v>3329</v>
      </c>
      <c r="C43" s="3">
        <v>259</v>
      </c>
      <c r="D43" s="25">
        <v>106</v>
      </c>
      <c r="E43" s="3">
        <v>300</v>
      </c>
      <c r="F43" s="3">
        <f t="shared" si="4"/>
        <v>27454</v>
      </c>
      <c r="G43" s="3">
        <v>0</v>
      </c>
      <c r="H43" s="3">
        <f>H42+'MAIN DEPOT'!$G43</f>
        <v>394255</v>
      </c>
      <c r="I43" s="42">
        <f>I42+'MAIN DEPOT'!$F43-'MAIN DEPOT'!$G43-'MAIN DEPOT'!$E43</f>
        <v>314355</v>
      </c>
    </row>
    <row r="44" spans="1:9" ht="15">
      <c r="A44" s="39">
        <v>43178</v>
      </c>
      <c r="B44" s="31">
        <f t="shared" si="5"/>
        <v>3070</v>
      </c>
      <c r="C44" s="3">
        <v>442</v>
      </c>
      <c r="D44" s="25">
        <v>106</v>
      </c>
      <c r="E44" s="3">
        <v>0</v>
      </c>
      <c r="F44" s="3">
        <f t="shared" si="4"/>
        <v>46852</v>
      </c>
      <c r="G44" s="3">
        <v>69770</v>
      </c>
      <c r="H44" s="3">
        <f>H43+'MAIN DEPOT'!$G44</f>
        <v>464025</v>
      </c>
      <c r="I44" s="42">
        <f>I43+'MAIN DEPOT'!$F44-'MAIN DEPOT'!$G44-'MAIN DEPOT'!$E44</f>
        <v>291437</v>
      </c>
    </row>
    <row r="45" spans="1:9" ht="15">
      <c r="A45" s="39">
        <v>43179</v>
      </c>
      <c r="B45" s="31">
        <f t="shared" si="5"/>
        <v>2628</v>
      </c>
      <c r="C45" s="3">
        <v>1987</v>
      </c>
      <c r="D45" s="25">
        <v>106</v>
      </c>
      <c r="E45" s="3">
        <v>1800</v>
      </c>
      <c r="F45" s="3">
        <f t="shared" si="4"/>
        <v>210622</v>
      </c>
      <c r="G45" s="3">
        <v>0</v>
      </c>
      <c r="H45" s="3">
        <f>H44+'MAIN DEPOT'!$G45</f>
        <v>464025</v>
      </c>
      <c r="I45" s="42">
        <f>I44+'MAIN DEPOT'!$F45-'MAIN DEPOT'!$G45-'MAIN DEPOT'!$E45</f>
        <v>500259</v>
      </c>
    </row>
    <row r="46" spans="1:9" ht="15">
      <c r="A46" s="39">
        <v>43180</v>
      </c>
      <c r="B46" s="31">
        <f t="shared" si="5"/>
        <v>641</v>
      </c>
      <c r="C46" s="3">
        <v>166</v>
      </c>
      <c r="D46" s="25">
        <v>106</v>
      </c>
      <c r="E46" s="3">
        <f>300+250</f>
        <v>550</v>
      </c>
      <c r="F46" s="3">
        <f t="shared" si="4"/>
        <v>17596</v>
      </c>
      <c r="G46" s="3">
        <v>63495</v>
      </c>
      <c r="H46" s="3">
        <f>H45+'MAIN DEPOT'!$G46</f>
        <v>527520</v>
      </c>
      <c r="I46" s="42">
        <f>I45+'MAIN DEPOT'!$F46-'MAIN DEPOT'!$G46-'MAIN DEPOT'!$E46</f>
        <v>453810</v>
      </c>
    </row>
    <row r="47" spans="1:9" ht="15">
      <c r="A47" s="39">
        <v>43181</v>
      </c>
      <c r="B47" s="31">
        <f t="shared" si="5"/>
        <v>475</v>
      </c>
      <c r="C47" s="3">
        <v>161</v>
      </c>
      <c r="D47" s="25">
        <v>106</v>
      </c>
      <c r="E47" s="3">
        <f>300+250</f>
        <v>550</v>
      </c>
      <c r="F47" s="3">
        <f t="shared" si="4"/>
        <v>17066</v>
      </c>
      <c r="G47" s="3">
        <v>37227</v>
      </c>
      <c r="H47" s="3">
        <f>H46+'MAIN DEPOT'!$G47</f>
        <v>564747</v>
      </c>
      <c r="I47" s="42">
        <f>I46+'MAIN DEPOT'!$F47-'MAIN DEPOT'!$G47-'MAIN DEPOT'!$E47</f>
        <v>433099</v>
      </c>
    </row>
    <row r="48" spans="1:9" ht="15">
      <c r="A48" s="39">
        <v>43182</v>
      </c>
      <c r="B48" s="31">
        <f t="shared" si="5"/>
        <v>314</v>
      </c>
      <c r="C48" s="3">
        <v>257</v>
      </c>
      <c r="D48" s="25">
        <v>106</v>
      </c>
      <c r="E48" s="3">
        <v>700</v>
      </c>
      <c r="F48" s="3">
        <f t="shared" si="4"/>
        <v>27242</v>
      </c>
      <c r="G48" s="3">
        <v>32600</v>
      </c>
      <c r="H48" s="3">
        <f>H47+'MAIN DEPOT'!$G48</f>
        <v>597347</v>
      </c>
      <c r="I48" s="42">
        <f>I47+'MAIN DEPOT'!$F48-'MAIN DEPOT'!$G48-'MAIN DEPOT'!$E48</f>
        <v>427041</v>
      </c>
    </row>
    <row r="49" spans="1:9" ht="15">
      <c r="A49" s="39">
        <v>43183</v>
      </c>
      <c r="B49" s="31">
        <f t="shared" si="5"/>
        <v>57</v>
      </c>
      <c r="C49" s="3"/>
      <c r="D49" s="25">
        <v>106</v>
      </c>
      <c r="E49" s="3"/>
      <c r="F49" s="3">
        <f t="shared" si="4"/>
        <v>0</v>
      </c>
      <c r="G49" s="3">
        <v>26000</v>
      </c>
      <c r="H49" s="3">
        <f>H48+'MAIN DEPOT'!$G49</f>
        <v>623347</v>
      </c>
      <c r="I49" s="42">
        <f>I48+'MAIN DEPOT'!$F49-'MAIN DEPOT'!$G49-'MAIN DEPOT'!$E49</f>
        <v>401041</v>
      </c>
    </row>
    <row r="50" spans="1:9" ht="15">
      <c r="A50" s="39"/>
      <c r="B50" s="3" t="s">
        <v>39</v>
      </c>
      <c r="C50" s="3"/>
      <c r="D50" s="25"/>
      <c r="E50" s="3">
        <v>2600</v>
      </c>
      <c r="F50" s="3"/>
      <c r="G50" s="3"/>
      <c r="H50" s="3"/>
      <c r="I50" s="42"/>
    </row>
    <row r="51" spans="1:9" ht="15">
      <c r="A51" s="39"/>
      <c r="B51" s="3"/>
      <c r="C51" s="3"/>
      <c r="D51" s="3"/>
      <c r="E51" s="3"/>
      <c r="F51" s="3"/>
      <c r="G51" s="3"/>
      <c r="H51" s="3"/>
      <c r="I51" s="42"/>
    </row>
    <row r="52" spans="1:10" s="12" customFormat="1" ht="15">
      <c r="A52" s="41" t="s">
        <v>31</v>
      </c>
      <c r="B52" s="15"/>
      <c r="C52" s="15">
        <f>SUM(C31:C51)</f>
        <v>9943</v>
      </c>
      <c r="D52" s="15"/>
      <c r="E52" s="15">
        <f>SUM(E31:E50)</f>
        <v>32170</v>
      </c>
      <c r="F52" s="15">
        <f>SUM(F32:F49)</f>
        <v>1053958</v>
      </c>
      <c r="G52" s="15">
        <f>SUM(G32:G49)</f>
        <v>623347</v>
      </c>
      <c r="H52" s="15"/>
      <c r="I52" s="43"/>
      <c r="J52" s="53"/>
    </row>
    <row r="53" spans="1:10" ht="15">
      <c r="A53" s="47"/>
      <c r="B53" s="48"/>
      <c r="C53" s="48">
        <v>3020</v>
      </c>
      <c r="D53" s="48"/>
      <c r="E53" s="48">
        <f>MWANGULU!H70</f>
        <v>14793</v>
      </c>
      <c r="F53" s="48">
        <f>'MAIN DEPOT'!$C53*D49</f>
        <v>320120</v>
      </c>
      <c r="G53" s="48">
        <f>MWANGULU!G70</f>
        <v>368434</v>
      </c>
      <c r="H53" s="48"/>
      <c r="I53" s="49">
        <f>I49-'MAIN DEPOT'!$G53</f>
        <v>32607</v>
      </c>
      <c r="J53" s="20"/>
    </row>
    <row r="54" spans="3:10" ht="15">
      <c r="C54" s="20">
        <f>C52-C53</f>
        <v>6923</v>
      </c>
      <c r="D54">
        <f>C54*D49</f>
        <v>733838</v>
      </c>
      <c r="E54" s="20"/>
      <c r="F54" s="20">
        <f>F52-F53</f>
        <v>733838</v>
      </c>
      <c r="G54" s="20">
        <f>G52+G53</f>
        <v>991781</v>
      </c>
      <c r="H54" s="20"/>
      <c r="J54" s="20"/>
    </row>
    <row r="55" spans="5:8" ht="15">
      <c r="E55" s="20"/>
      <c r="F55" s="20"/>
      <c r="G55" s="20">
        <f>F31-G54</f>
        <v>-21781</v>
      </c>
      <c r="H55" s="20"/>
    </row>
    <row r="56" spans="3:11" ht="21">
      <c r="C56" s="20"/>
      <c r="E56" s="151" t="s">
        <v>35</v>
      </c>
      <c r="F56" s="151"/>
      <c r="G56" s="151"/>
      <c r="H56" s="20"/>
      <c r="I56" s="55"/>
      <c r="J56" s="20"/>
      <c r="K56" s="20"/>
    </row>
    <row r="58" spans="1:9" ht="15">
      <c r="A58" s="44" t="s">
        <v>0</v>
      </c>
      <c r="B58" s="45" t="s">
        <v>2</v>
      </c>
      <c r="C58" s="45" t="s">
        <v>1</v>
      </c>
      <c r="D58" s="45" t="s">
        <v>5</v>
      </c>
      <c r="E58" s="45" t="s">
        <v>6</v>
      </c>
      <c r="F58" s="45" t="s">
        <v>4</v>
      </c>
      <c r="G58" s="45" t="s">
        <v>3</v>
      </c>
      <c r="H58" s="45" t="s">
        <v>9</v>
      </c>
      <c r="I58" s="46" t="s">
        <v>8</v>
      </c>
    </row>
    <row r="59" spans="1:9" ht="15">
      <c r="A59" s="38"/>
      <c r="B59" s="3">
        <v>10000</v>
      </c>
      <c r="C59" s="28"/>
      <c r="D59" s="28">
        <v>106</v>
      </c>
      <c r="E59" s="50">
        <v>0</v>
      </c>
      <c r="F59" s="50">
        <f>'MAIN DEPOT'!$D59*'MAIN DEPOT'!$B59</f>
        <v>1060000</v>
      </c>
      <c r="G59" s="50">
        <v>0</v>
      </c>
      <c r="H59" s="50">
        <f>'MAIN DEPOT'!$F59-'MAIN DEPOT'!$E59</f>
        <v>1060000</v>
      </c>
      <c r="I59" s="51">
        <f>'MAIN DEPOT'!$H59-'MAIN DEPOT'!$G59</f>
        <v>1060000</v>
      </c>
    </row>
    <row r="60" spans="1:10" ht="15">
      <c r="A60" s="39">
        <v>43183</v>
      </c>
      <c r="B60" s="3">
        <v>10000</v>
      </c>
      <c r="C60" s="3">
        <v>488</v>
      </c>
      <c r="D60" s="3">
        <v>106</v>
      </c>
      <c r="E60" s="31">
        <v>100</v>
      </c>
      <c r="F60" s="3">
        <f>'MAIN DEPOT'!$D60*'MAIN DEPOT'!$C60</f>
        <v>51728</v>
      </c>
      <c r="G60" s="8">
        <v>70000</v>
      </c>
      <c r="H60" s="3">
        <v>70000</v>
      </c>
      <c r="I60" s="42">
        <f>'MAIN DEPOT'!$F60-'MAIN DEPOT'!$E60-'MAIN DEPOT'!$G60</f>
        <v>-18372</v>
      </c>
      <c r="J60">
        <v>58</v>
      </c>
    </row>
    <row r="61" spans="1:10" ht="15">
      <c r="A61" s="39">
        <v>43184</v>
      </c>
      <c r="B61" s="31">
        <f>B60-C60</f>
        <v>9512</v>
      </c>
      <c r="C61" s="25">
        <v>595</v>
      </c>
      <c r="D61" s="3">
        <v>106</v>
      </c>
      <c r="E61" s="30">
        <v>0</v>
      </c>
      <c r="F61" s="3">
        <f>'MAIN DEPOT'!$D61*'MAIN DEPOT'!$C61</f>
        <v>63070</v>
      </c>
      <c r="G61" s="26"/>
      <c r="H61" s="3">
        <f>H60+'MAIN DEPOT'!$G61</f>
        <v>70000</v>
      </c>
      <c r="I61" s="42">
        <f>I60+'MAIN DEPOT'!$F61-'MAIN DEPOT'!$E61-'MAIN DEPOT'!$G61</f>
        <v>44698</v>
      </c>
      <c r="J61">
        <v>65</v>
      </c>
    </row>
    <row r="62" spans="1:10" ht="15">
      <c r="A62" s="39">
        <v>43185</v>
      </c>
      <c r="B62" s="31">
        <f aca="true" t="shared" si="6" ref="B62:B74">B61-C61</f>
        <v>8917</v>
      </c>
      <c r="C62" s="3">
        <v>841</v>
      </c>
      <c r="D62" s="3">
        <v>106</v>
      </c>
      <c r="E62" s="3">
        <f>5800+6800</f>
        <v>12600</v>
      </c>
      <c r="F62" s="3">
        <f>'MAIN DEPOT'!$D62*'MAIN DEPOT'!$C62</f>
        <v>89146</v>
      </c>
      <c r="G62" s="3"/>
      <c r="H62" s="3">
        <f>H61+'MAIN DEPOT'!$G62</f>
        <v>70000</v>
      </c>
      <c r="I62" s="42">
        <f>I61+'MAIN DEPOT'!$F62-'MAIN DEPOT'!$E62-'MAIN DEPOT'!$G62</f>
        <v>121244</v>
      </c>
      <c r="J62">
        <v>44355</v>
      </c>
    </row>
    <row r="63" spans="1:9" ht="15">
      <c r="A63" s="39">
        <v>43186</v>
      </c>
      <c r="B63" s="31">
        <f t="shared" si="6"/>
        <v>8076</v>
      </c>
      <c r="C63" s="3">
        <v>1294</v>
      </c>
      <c r="D63" s="3">
        <v>106</v>
      </c>
      <c r="E63" s="3">
        <v>2400</v>
      </c>
      <c r="F63" s="3">
        <f>'MAIN DEPOT'!$D63*'MAIN DEPOT'!$C63</f>
        <v>137164</v>
      </c>
      <c r="G63" s="3">
        <v>70000</v>
      </c>
      <c r="H63" s="3">
        <f>H62+'MAIN DEPOT'!$G63</f>
        <v>140000</v>
      </c>
      <c r="I63" s="42">
        <f>I62+'MAIN DEPOT'!$F63-'MAIN DEPOT'!$E63-'MAIN DEPOT'!$G63</f>
        <v>186008</v>
      </c>
    </row>
    <row r="64" spans="1:9" ht="15">
      <c r="A64" s="39">
        <v>43187</v>
      </c>
      <c r="B64" s="31">
        <f t="shared" si="6"/>
        <v>6782</v>
      </c>
      <c r="C64" s="3">
        <v>429</v>
      </c>
      <c r="D64" s="3">
        <v>106</v>
      </c>
      <c r="E64" s="3">
        <v>300</v>
      </c>
      <c r="F64" s="3">
        <f>'MAIN DEPOT'!$D64*'MAIN DEPOT'!$C64</f>
        <v>45474</v>
      </c>
      <c r="G64" s="3">
        <v>43375</v>
      </c>
      <c r="H64" s="3">
        <f>H63+'MAIN DEPOT'!$G64</f>
        <v>183375</v>
      </c>
      <c r="I64" s="42">
        <f>I63+'MAIN DEPOT'!$F64-'MAIN DEPOT'!$E64-'MAIN DEPOT'!$G64</f>
        <v>187807</v>
      </c>
    </row>
    <row r="65" spans="1:9" ht="15">
      <c r="A65" s="39">
        <v>43188</v>
      </c>
      <c r="B65" s="31">
        <f t="shared" si="6"/>
        <v>6353</v>
      </c>
      <c r="C65" s="3">
        <v>474</v>
      </c>
      <c r="D65" s="3">
        <v>106</v>
      </c>
      <c r="E65" s="3">
        <v>300</v>
      </c>
      <c r="F65" s="3">
        <f>'MAIN DEPOT'!$D65*'MAIN DEPOT'!$C65</f>
        <v>50244</v>
      </c>
      <c r="G65" s="3"/>
      <c r="H65" s="3">
        <f>H64+'MAIN DEPOT'!$G65</f>
        <v>183375</v>
      </c>
      <c r="I65" s="42">
        <f>I64+'MAIN DEPOT'!$F65-'MAIN DEPOT'!$E65-'MAIN DEPOT'!$G65</f>
        <v>237751</v>
      </c>
    </row>
    <row r="66" spans="1:10" ht="15">
      <c r="A66" s="39">
        <v>43189</v>
      </c>
      <c r="B66" s="31">
        <f t="shared" si="6"/>
        <v>5879</v>
      </c>
      <c r="C66" s="3">
        <v>887</v>
      </c>
      <c r="D66" s="3">
        <v>106</v>
      </c>
      <c r="E66" s="3">
        <v>2000</v>
      </c>
      <c r="F66" s="3">
        <f>'MAIN DEPOT'!$D66*'MAIN DEPOT'!$C66</f>
        <v>94022</v>
      </c>
      <c r="G66" s="3">
        <v>70000</v>
      </c>
      <c r="H66" s="3">
        <f>H65+'MAIN DEPOT'!$G66</f>
        <v>253375</v>
      </c>
      <c r="I66" s="42">
        <f>I65+'MAIN DEPOT'!$F66-'MAIN DEPOT'!$E66-'MAIN DEPOT'!$G66</f>
        <v>259773</v>
      </c>
      <c r="J66">
        <v>50000</v>
      </c>
    </row>
    <row r="67" spans="1:9" ht="15">
      <c r="A67" s="39">
        <v>43190</v>
      </c>
      <c r="B67" s="31">
        <f t="shared" si="6"/>
        <v>4992</v>
      </c>
      <c r="C67" s="3">
        <v>857</v>
      </c>
      <c r="D67" s="3">
        <v>106</v>
      </c>
      <c r="E67" s="3">
        <f>1250+300+450+500+250+350+1000</f>
        <v>4100</v>
      </c>
      <c r="F67" s="3">
        <f>'MAIN DEPOT'!$D67*'MAIN DEPOT'!$C67</f>
        <v>90842</v>
      </c>
      <c r="G67" s="3">
        <v>70000</v>
      </c>
      <c r="H67" s="3">
        <f>H66+'MAIN DEPOT'!$G67</f>
        <v>323375</v>
      </c>
      <c r="I67" s="42">
        <f>I66+'MAIN DEPOT'!$F67-'MAIN DEPOT'!$E67-'MAIN DEPOT'!$G67</f>
        <v>276515</v>
      </c>
    </row>
    <row r="68" spans="1:9" ht="15">
      <c r="A68" s="39">
        <v>43191</v>
      </c>
      <c r="B68" s="31">
        <f t="shared" si="6"/>
        <v>4135</v>
      </c>
      <c r="C68" s="3">
        <v>664</v>
      </c>
      <c r="D68" s="3">
        <v>106</v>
      </c>
      <c r="E68" s="3">
        <f>2500+900+6000</f>
        <v>9400</v>
      </c>
      <c r="F68" s="3">
        <f>'MAIN DEPOT'!$D68*'MAIN DEPOT'!$C68</f>
        <v>70384</v>
      </c>
      <c r="G68" s="3"/>
      <c r="H68" s="3">
        <f>H67+'MAIN DEPOT'!$G68</f>
        <v>323375</v>
      </c>
      <c r="I68" s="42">
        <f>I67+'MAIN DEPOT'!$F68-'MAIN DEPOT'!$E68-'MAIN DEPOT'!$G68</f>
        <v>337499</v>
      </c>
    </row>
    <row r="69" spans="1:9" ht="15">
      <c r="A69" s="39">
        <v>43192</v>
      </c>
      <c r="B69" s="31">
        <f t="shared" si="6"/>
        <v>3471</v>
      </c>
      <c r="C69" s="3">
        <v>1530</v>
      </c>
      <c r="D69" s="3">
        <v>106</v>
      </c>
      <c r="E69" s="3">
        <f>2250+1500+300</f>
        <v>4050</v>
      </c>
      <c r="F69" s="3">
        <f>'MAIN DEPOT'!$D69*'MAIN DEPOT'!$C69</f>
        <v>162180</v>
      </c>
      <c r="G69" s="3">
        <f>64000+51770</f>
        <v>115770</v>
      </c>
      <c r="H69" s="3">
        <f>H68+'MAIN DEPOT'!$G69</f>
        <v>439145</v>
      </c>
      <c r="I69" s="42">
        <f>I68+'MAIN DEPOT'!$F69-'MAIN DEPOT'!$E69-'MAIN DEPOT'!$G69</f>
        <v>379859</v>
      </c>
    </row>
    <row r="70" spans="1:9" ht="15">
      <c r="A70" s="39">
        <v>43193</v>
      </c>
      <c r="B70" s="31">
        <f t="shared" si="6"/>
        <v>1941</v>
      </c>
      <c r="C70" s="3">
        <v>667</v>
      </c>
      <c r="D70" s="3">
        <v>106</v>
      </c>
      <c r="E70" s="3">
        <f>5500+15000</f>
        <v>20500</v>
      </c>
      <c r="F70" s="3">
        <f>'MAIN DEPOT'!$D70*'MAIN DEPOT'!$C70</f>
        <v>70702</v>
      </c>
      <c r="G70" s="3">
        <v>63189</v>
      </c>
      <c r="H70" s="3">
        <f>H69+'MAIN DEPOT'!$G70</f>
        <v>502334</v>
      </c>
      <c r="I70" s="42">
        <f>I69+'MAIN DEPOT'!$F70-'MAIN DEPOT'!$E70-'MAIN DEPOT'!$G70</f>
        <v>366872</v>
      </c>
    </row>
    <row r="71" spans="1:10" ht="15">
      <c r="A71" s="39">
        <v>43194</v>
      </c>
      <c r="B71" s="31">
        <f t="shared" si="6"/>
        <v>1274</v>
      </c>
      <c r="C71" s="3">
        <v>232</v>
      </c>
      <c r="D71" s="3">
        <v>106</v>
      </c>
      <c r="E71" s="3">
        <f>1000+500</f>
        <v>1500</v>
      </c>
      <c r="F71" s="3">
        <f>'MAIN DEPOT'!$D71*'MAIN DEPOT'!$C71</f>
        <v>24592</v>
      </c>
      <c r="G71" s="3">
        <v>20265</v>
      </c>
      <c r="H71" s="3">
        <f>H70+'MAIN DEPOT'!$G71</f>
        <v>522599</v>
      </c>
      <c r="I71" s="42">
        <f>I70+'MAIN DEPOT'!$F71-'MAIN DEPOT'!$E71-'MAIN DEPOT'!$G71</f>
        <v>369699</v>
      </c>
      <c r="J71">
        <v>60000</v>
      </c>
    </row>
    <row r="72" spans="1:9" ht="15">
      <c r="A72" s="39">
        <v>43195</v>
      </c>
      <c r="B72" s="31">
        <f t="shared" si="6"/>
        <v>1042</v>
      </c>
      <c r="C72" s="3">
        <v>717</v>
      </c>
      <c r="D72" s="3">
        <v>106</v>
      </c>
      <c r="E72" s="3">
        <v>550</v>
      </c>
      <c r="F72" s="3">
        <f>'MAIN DEPOT'!$D72*'MAIN DEPOT'!$C72</f>
        <v>76002</v>
      </c>
      <c r="G72" s="3">
        <v>5550</v>
      </c>
      <c r="H72" s="3">
        <f>H71+'MAIN DEPOT'!$G72</f>
        <v>528149</v>
      </c>
      <c r="I72" s="42">
        <f>I71+'MAIN DEPOT'!$F72-'MAIN DEPOT'!$E72-'MAIN DEPOT'!$G72</f>
        <v>439601</v>
      </c>
    </row>
    <row r="73" spans="1:9" ht="15">
      <c r="A73" s="39">
        <v>43196</v>
      </c>
      <c r="B73" s="31">
        <f t="shared" si="6"/>
        <v>325</v>
      </c>
      <c r="C73" s="3">
        <v>180</v>
      </c>
      <c r="D73" s="3">
        <v>106</v>
      </c>
      <c r="E73" s="3"/>
      <c r="F73" s="3">
        <f>'MAIN DEPOT'!$D73*'MAIN DEPOT'!$C73</f>
        <v>19080</v>
      </c>
      <c r="G73" s="3">
        <v>46400</v>
      </c>
      <c r="H73" s="3">
        <f>H72+'MAIN DEPOT'!$G73</f>
        <v>574549</v>
      </c>
      <c r="I73" s="42">
        <f>I72+'MAIN DEPOT'!$F73-'MAIN DEPOT'!$E73-'MAIN DEPOT'!$G73</f>
        <v>412281</v>
      </c>
    </row>
    <row r="74" spans="1:9" ht="15">
      <c r="A74" s="39">
        <v>43197</v>
      </c>
      <c r="B74" s="31">
        <f t="shared" si="6"/>
        <v>145</v>
      </c>
      <c r="C74" s="3"/>
      <c r="D74" s="3">
        <v>106</v>
      </c>
      <c r="E74" s="3"/>
      <c r="F74" s="3">
        <f>'MAIN DEPOT'!$D74*'MAIN DEPOT'!$C74</f>
        <v>0</v>
      </c>
      <c r="G74" s="3">
        <v>46209</v>
      </c>
      <c r="H74" s="3">
        <f>H73+'MAIN DEPOT'!$G74</f>
        <v>620758</v>
      </c>
      <c r="I74" s="42">
        <f>I73+'MAIN DEPOT'!$F74-'MAIN DEPOT'!$E74-'MAIN DEPOT'!$G74</f>
        <v>366072</v>
      </c>
    </row>
    <row r="75" spans="1:9" ht="15">
      <c r="A75" s="39"/>
      <c r="B75" s="31"/>
      <c r="C75" s="3"/>
      <c r="D75" s="25"/>
      <c r="E75" s="3"/>
      <c r="F75" s="3">
        <f>'MAIN DEPOT'!$D75*'MAIN DEPOT'!$C75</f>
        <v>0</v>
      </c>
      <c r="G75" s="3"/>
      <c r="H75" s="3">
        <f>H74+'MAIN DEPOT'!$G75</f>
        <v>620758</v>
      </c>
      <c r="I75" s="42">
        <f>I74+'MAIN DEPOT'!$F75-'MAIN DEPOT'!$E75-'MAIN DEPOT'!$G75</f>
        <v>366072</v>
      </c>
    </row>
    <row r="76" spans="1:9" ht="15">
      <c r="A76" s="39"/>
      <c r="B76" s="31"/>
      <c r="C76" s="3"/>
      <c r="D76" s="25"/>
      <c r="E76" s="3"/>
      <c r="F76" s="3">
        <f>'MAIN DEPOT'!$D76*'MAIN DEPOT'!$C76</f>
        <v>0</v>
      </c>
      <c r="G76" s="3"/>
      <c r="H76" s="3"/>
      <c r="I76" s="42"/>
    </row>
    <row r="77" spans="1:9" ht="15">
      <c r="A77" s="39"/>
      <c r="B77" s="31"/>
      <c r="C77" s="3"/>
      <c r="D77" s="25"/>
      <c r="E77" s="3"/>
      <c r="F77" s="3"/>
      <c r="G77" s="3"/>
      <c r="H77" s="3"/>
      <c r="I77" s="42"/>
    </row>
    <row r="78" spans="1:9" ht="15">
      <c r="A78" s="39"/>
      <c r="B78" s="3"/>
      <c r="C78" s="3"/>
      <c r="D78" s="3"/>
      <c r="E78" s="3"/>
      <c r="F78" s="3"/>
      <c r="G78" s="3"/>
      <c r="H78" s="3"/>
      <c r="I78" s="42"/>
    </row>
    <row r="79" spans="1:9" ht="15">
      <c r="A79" s="41"/>
      <c r="B79" s="15"/>
      <c r="C79" s="15">
        <f>SUM(C60:C71)</f>
        <v>8958</v>
      </c>
      <c r="D79" s="15"/>
      <c r="E79" s="15">
        <f>SUM(E60:E78)</f>
        <v>57800</v>
      </c>
      <c r="F79" s="15">
        <f>SUM(F60:F78)</f>
        <v>1044630</v>
      </c>
      <c r="G79" s="15">
        <f>SUM(G60:G78)</f>
        <v>620758</v>
      </c>
      <c r="H79" s="15"/>
      <c r="I79" s="43"/>
    </row>
    <row r="80" spans="1:9" ht="15">
      <c r="A80" s="47"/>
      <c r="B80" s="48"/>
      <c r="C80" s="48"/>
      <c r="D80" s="48"/>
      <c r="E80" s="48"/>
      <c r="F80" s="3"/>
      <c r="G80" s="48"/>
      <c r="H80" s="48"/>
      <c r="I80" s="49"/>
    </row>
    <row r="81" spans="6:8" ht="15">
      <c r="F81" s="20">
        <f>H75+MWANGULU!G102</f>
        <v>1035001</v>
      </c>
      <c r="G81">
        <f>699424-40000</f>
        <v>659424</v>
      </c>
      <c r="H81">
        <f>618000-G81+29440</f>
        <v>-11984</v>
      </c>
    </row>
    <row r="82" spans="2:9" ht="15">
      <c r="B82" s="152"/>
      <c r="C82" s="152"/>
      <c r="D82" s="152"/>
      <c r="E82" s="152"/>
      <c r="F82" s="152"/>
      <c r="G82" s="152"/>
      <c r="H82" s="152"/>
      <c r="I82" s="152"/>
    </row>
    <row r="83" spans="3:9" ht="21">
      <c r="C83" s="4"/>
      <c r="D83" s="4"/>
      <c r="E83" s="4"/>
      <c r="F83" s="57" t="s">
        <v>40</v>
      </c>
      <c r="G83" s="57"/>
      <c r="H83" s="57"/>
      <c r="I83"/>
    </row>
    <row r="85" spans="1:9" ht="15">
      <c r="A85" s="44" t="s">
        <v>0</v>
      </c>
      <c r="B85" s="45" t="s">
        <v>2</v>
      </c>
      <c r="C85" s="45" t="s">
        <v>1</v>
      </c>
      <c r="D85" s="45" t="s">
        <v>5</v>
      </c>
      <c r="E85" s="45" t="s">
        <v>6</v>
      </c>
      <c r="F85" s="45" t="s">
        <v>4</v>
      </c>
      <c r="G85" s="45" t="s">
        <v>3</v>
      </c>
      <c r="H85" s="45" t="s">
        <v>9</v>
      </c>
      <c r="I85" s="46" t="s">
        <v>8</v>
      </c>
    </row>
    <row r="86" spans="1:9" ht="15">
      <c r="A86" s="56">
        <v>43166</v>
      </c>
      <c r="B86" s="3">
        <v>10000</v>
      </c>
      <c r="C86" s="28"/>
      <c r="D86" s="28">
        <v>106</v>
      </c>
      <c r="E86" s="50"/>
      <c r="F86" s="50">
        <f>'MAIN DEPOT'!$D86*'MAIN DEPOT'!$B86</f>
        <v>1060000</v>
      </c>
      <c r="G86" s="50"/>
      <c r="H86" s="50">
        <f>'MAIN DEPOT'!$F86-'MAIN DEPOT'!$E86</f>
        <v>1060000</v>
      </c>
      <c r="I86" s="51">
        <f>'MAIN DEPOT'!$H86-'MAIN DEPOT'!$G86</f>
        <v>1060000</v>
      </c>
    </row>
    <row r="87" spans="1:10" ht="15">
      <c r="A87" s="39">
        <v>43198</v>
      </c>
      <c r="B87" s="3">
        <v>10000</v>
      </c>
      <c r="C87" s="3">
        <v>1770</v>
      </c>
      <c r="D87" s="3">
        <v>106</v>
      </c>
      <c r="E87" s="31">
        <v>2500</v>
      </c>
      <c r="F87" s="3">
        <f>'MAIN DEPOT'!$C87*'MAIN DEPOT'!$D87</f>
        <v>187620</v>
      </c>
      <c r="G87" s="8">
        <f>52670+4400</f>
        <v>57070</v>
      </c>
      <c r="H87" s="3">
        <v>57070</v>
      </c>
      <c r="I87" s="42">
        <f>'MAIN DEPOT'!$F87-'MAIN DEPOT'!$E87-'MAIN DEPOT'!$G87</f>
        <v>128050</v>
      </c>
      <c r="J87">
        <v>57000</v>
      </c>
    </row>
    <row r="88" spans="1:9" ht="15">
      <c r="A88" s="39">
        <v>43199</v>
      </c>
      <c r="B88" s="31">
        <f>B87-C87</f>
        <v>8230</v>
      </c>
      <c r="C88" s="25">
        <v>493</v>
      </c>
      <c r="D88" s="3">
        <v>106</v>
      </c>
      <c r="E88" s="30"/>
      <c r="F88" s="3">
        <f>'MAIN DEPOT'!$C88*'MAIN DEPOT'!$D88</f>
        <v>52258</v>
      </c>
      <c r="G88" s="26">
        <f>14134+1045+8967</f>
        <v>24146</v>
      </c>
      <c r="H88" s="3">
        <f>H87+'MAIN DEPOT'!$G88</f>
        <v>81216</v>
      </c>
      <c r="I88" s="42">
        <f>I87+'MAIN DEPOT'!$F88-'MAIN DEPOT'!$E88-'MAIN DEPOT'!$G88</f>
        <v>156162</v>
      </c>
    </row>
    <row r="89" spans="1:10" ht="15">
      <c r="A89" s="39">
        <v>43200</v>
      </c>
      <c r="B89" s="31">
        <f aca="true" t="shared" si="7" ref="B89:B101">B88-C88</f>
        <v>7737</v>
      </c>
      <c r="C89" s="3">
        <v>1300</v>
      </c>
      <c r="D89" s="3">
        <v>106</v>
      </c>
      <c r="E89" s="3">
        <v>3000</v>
      </c>
      <c r="F89" s="3">
        <f>'MAIN DEPOT'!$C89*'MAIN DEPOT'!$D89</f>
        <v>137800</v>
      </c>
      <c r="G89" s="3">
        <v>40000</v>
      </c>
      <c r="H89" s="3">
        <f>H88+'MAIN DEPOT'!$G89</f>
        <v>121216</v>
      </c>
      <c r="I89" s="42">
        <f>I88+'MAIN DEPOT'!$F89-'MAIN DEPOT'!$E89-'MAIN DEPOT'!$G89</f>
        <v>250962</v>
      </c>
      <c r="J89">
        <v>40000</v>
      </c>
    </row>
    <row r="90" spans="1:9" ht="15">
      <c r="A90" s="39">
        <v>43201</v>
      </c>
      <c r="B90" s="31">
        <f t="shared" si="7"/>
        <v>6437</v>
      </c>
      <c r="C90" s="3">
        <v>303</v>
      </c>
      <c r="D90" s="3">
        <v>106</v>
      </c>
      <c r="E90" s="3">
        <v>250</v>
      </c>
      <c r="F90" s="3">
        <f>'MAIN DEPOT'!$C90*'MAIN DEPOT'!$D90</f>
        <v>32118</v>
      </c>
      <c r="G90" s="3"/>
      <c r="H90" s="3">
        <f>H89+'MAIN DEPOT'!$G90</f>
        <v>121216</v>
      </c>
      <c r="I90" s="42">
        <f>I89+'MAIN DEPOT'!$F90-'MAIN DEPOT'!$E90-'MAIN DEPOT'!$G90</f>
        <v>282830</v>
      </c>
    </row>
    <row r="91" spans="1:10" ht="15">
      <c r="A91" s="39">
        <v>43202</v>
      </c>
      <c r="B91" s="31">
        <f t="shared" si="7"/>
        <v>6134</v>
      </c>
      <c r="C91" s="3">
        <v>462</v>
      </c>
      <c r="D91" s="3">
        <v>106</v>
      </c>
      <c r="E91" s="3">
        <v>900</v>
      </c>
      <c r="F91" s="3">
        <f>'MAIN DEPOT'!$C91*'MAIN DEPOT'!$D91</f>
        <v>48972</v>
      </c>
      <c r="G91" s="3"/>
      <c r="H91" s="3">
        <f>H90+'MAIN DEPOT'!$G91</f>
        <v>121216</v>
      </c>
      <c r="I91" s="42">
        <f>I90+'MAIN DEPOT'!$F91-'MAIN DEPOT'!$E91-'MAIN DEPOT'!$G91</f>
        <v>330902</v>
      </c>
      <c r="J91">
        <v>48000</v>
      </c>
    </row>
    <row r="92" spans="1:9" ht="15">
      <c r="A92" s="39">
        <v>43203</v>
      </c>
      <c r="B92" s="31">
        <f t="shared" si="7"/>
        <v>5672</v>
      </c>
      <c r="C92" s="3">
        <v>547</v>
      </c>
      <c r="D92" s="3">
        <v>106</v>
      </c>
      <c r="E92" s="3">
        <v>0</v>
      </c>
      <c r="F92" s="3">
        <f>'MAIN DEPOT'!$C92*'MAIN DEPOT'!$D92</f>
        <v>57982</v>
      </c>
      <c r="G92" s="3">
        <v>70000</v>
      </c>
      <c r="H92" s="3">
        <f>H91+'MAIN DEPOT'!$G92</f>
        <v>191216</v>
      </c>
      <c r="I92" s="42">
        <f>I91+'MAIN DEPOT'!$F92-'MAIN DEPOT'!$E92-'MAIN DEPOT'!$G92</f>
        <v>318884</v>
      </c>
    </row>
    <row r="93" spans="1:10" ht="15">
      <c r="A93" s="39">
        <v>43204</v>
      </c>
      <c r="B93" s="31">
        <f t="shared" si="7"/>
        <v>5125</v>
      </c>
      <c r="C93" s="3">
        <v>507</v>
      </c>
      <c r="D93" s="3">
        <v>106</v>
      </c>
      <c r="E93" s="3">
        <v>300</v>
      </c>
      <c r="F93" s="3">
        <f>'MAIN DEPOT'!$C93*'MAIN DEPOT'!$D93</f>
        <v>53742</v>
      </c>
      <c r="G93" s="3">
        <v>70000</v>
      </c>
      <c r="H93" s="3">
        <f>H92+'MAIN DEPOT'!$G93</f>
        <v>261216</v>
      </c>
      <c r="I93" s="42">
        <f>I92+'MAIN DEPOT'!$F93-'MAIN DEPOT'!$E93-'MAIN DEPOT'!$G93</f>
        <v>302326</v>
      </c>
      <c r="J93">
        <v>50000</v>
      </c>
    </row>
    <row r="94" spans="1:10" ht="15">
      <c r="A94" s="39">
        <v>43205</v>
      </c>
      <c r="B94" s="31">
        <f t="shared" si="7"/>
        <v>4618</v>
      </c>
      <c r="C94" s="3">
        <v>195</v>
      </c>
      <c r="D94" s="3">
        <v>106</v>
      </c>
      <c r="E94" s="3"/>
      <c r="F94" s="3">
        <f>'MAIN DEPOT'!$C94*'MAIN DEPOT'!$D94</f>
        <v>20670</v>
      </c>
      <c r="G94" s="3">
        <v>5785</v>
      </c>
      <c r="H94" s="3">
        <f>H93+'MAIN DEPOT'!$G94</f>
        <v>267001</v>
      </c>
      <c r="I94" s="42">
        <f>I93+'MAIN DEPOT'!$F94-'MAIN DEPOT'!$E94-'MAIN DEPOT'!$G94</f>
        <v>317211</v>
      </c>
      <c r="J94">
        <v>110000</v>
      </c>
    </row>
    <row r="95" spans="1:10" ht="15">
      <c r="A95" s="39">
        <v>43206</v>
      </c>
      <c r="B95" s="31">
        <f t="shared" si="7"/>
        <v>4423</v>
      </c>
      <c r="C95" s="3">
        <v>453</v>
      </c>
      <c r="D95" s="3">
        <v>106</v>
      </c>
      <c r="E95" s="3">
        <v>300</v>
      </c>
      <c r="F95" s="3">
        <f>'MAIN DEPOT'!$C95*'MAIN DEPOT'!$D95</f>
        <v>48018</v>
      </c>
      <c r="G95" s="3">
        <v>70000</v>
      </c>
      <c r="H95" s="3">
        <f>H94+'MAIN DEPOT'!$G95</f>
        <v>337001</v>
      </c>
      <c r="I95" s="42">
        <f>I94+'MAIN DEPOT'!$F95-'MAIN DEPOT'!$E95-'MAIN DEPOT'!$G95</f>
        <v>294929</v>
      </c>
      <c r="J95">
        <v>90000</v>
      </c>
    </row>
    <row r="96" spans="1:9" ht="15">
      <c r="A96" s="39">
        <v>43207</v>
      </c>
      <c r="B96" s="31">
        <f t="shared" si="7"/>
        <v>3970</v>
      </c>
      <c r="C96" s="3">
        <v>967</v>
      </c>
      <c r="D96" s="3">
        <v>106</v>
      </c>
      <c r="E96" s="3">
        <f>900+500</f>
        <v>1400</v>
      </c>
      <c r="F96" s="3">
        <f>'MAIN DEPOT'!$C96*'MAIN DEPOT'!$D96</f>
        <v>102502</v>
      </c>
      <c r="G96" s="3">
        <v>40000</v>
      </c>
      <c r="H96" s="3">
        <f>H95+'MAIN DEPOT'!$G96</f>
        <v>377001</v>
      </c>
      <c r="I96" s="42">
        <f>I95+'MAIN DEPOT'!$F96-'MAIN DEPOT'!$E96-'MAIN DEPOT'!$G96</f>
        <v>356031</v>
      </c>
    </row>
    <row r="97" spans="1:11" ht="15">
      <c r="A97" s="39">
        <v>43208</v>
      </c>
      <c r="B97" s="31">
        <f t="shared" si="7"/>
        <v>3003</v>
      </c>
      <c r="C97" s="3">
        <v>1789</v>
      </c>
      <c r="D97" s="3">
        <v>106</v>
      </c>
      <c r="E97" s="3">
        <v>2000</v>
      </c>
      <c r="F97" s="3">
        <f>'MAIN DEPOT'!$C97*'MAIN DEPOT'!$D97</f>
        <v>189634</v>
      </c>
      <c r="G97" s="3">
        <f>20000+70000</f>
        <v>90000</v>
      </c>
      <c r="H97" s="3">
        <f>H96+'MAIN DEPOT'!$G97</f>
        <v>467001</v>
      </c>
      <c r="I97" s="42">
        <f>I96+'MAIN DEPOT'!$F97-'MAIN DEPOT'!$E97-'MAIN DEPOT'!$G97</f>
        <v>453665</v>
      </c>
      <c r="J97">
        <v>9000</v>
      </c>
      <c r="K97" t="s">
        <v>44</v>
      </c>
    </row>
    <row r="98" spans="1:10" ht="15">
      <c r="A98" s="39">
        <v>43209</v>
      </c>
      <c r="B98" s="31">
        <f t="shared" si="7"/>
        <v>1214</v>
      </c>
      <c r="C98" s="3">
        <v>206</v>
      </c>
      <c r="D98" s="3">
        <v>103</v>
      </c>
      <c r="E98" s="3"/>
      <c r="F98" s="3">
        <f>'MAIN DEPOT'!$C98*'MAIN DEPOT'!$D98</f>
        <v>21218</v>
      </c>
      <c r="G98" s="3">
        <f>70000+9000</f>
        <v>79000</v>
      </c>
      <c r="H98" s="3">
        <f>H97+'MAIN DEPOT'!$G98</f>
        <v>546001</v>
      </c>
      <c r="I98" s="42">
        <f>I97+'MAIN DEPOT'!$F98-'MAIN DEPOT'!$E98-'MAIN DEPOT'!$G98</f>
        <v>395883</v>
      </c>
      <c r="J98">
        <v>47000</v>
      </c>
    </row>
    <row r="99" spans="1:10" ht="15">
      <c r="A99" s="39">
        <v>43210</v>
      </c>
      <c r="B99" s="31">
        <f t="shared" si="7"/>
        <v>1008</v>
      </c>
      <c r="C99" s="3">
        <v>657</v>
      </c>
      <c r="D99" s="3">
        <v>103</v>
      </c>
      <c r="E99" s="3">
        <f>4585+300</f>
        <v>4885</v>
      </c>
      <c r="F99" s="3">
        <f>'MAIN DEPOT'!$C99*'MAIN DEPOT'!$D99</f>
        <v>67671</v>
      </c>
      <c r="G99" s="3">
        <f>70000+15000</f>
        <v>85000</v>
      </c>
      <c r="H99" s="3">
        <f>H98+'MAIN DEPOT'!$G99</f>
        <v>631001</v>
      </c>
      <c r="I99" s="42">
        <f>I98+'MAIN DEPOT'!$F99-'MAIN DEPOT'!$E99-'MAIN DEPOT'!$G99</f>
        <v>373669</v>
      </c>
      <c r="J99">
        <v>30000</v>
      </c>
    </row>
    <row r="100" spans="1:9" ht="15">
      <c r="A100" s="39">
        <v>43211</v>
      </c>
      <c r="B100" s="31">
        <f t="shared" si="7"/>
        <v>351</v>
      </c>
      <c r="C100" s="3">
        <v>313</v>
      </c>
      <c r="D100" s="3">
        <v>103</v>
      </c>
      <c r="E100" s="3">
        <v>2000</v>
      </c>
      <c r="F100" s="3">
        <f>'MAIN DEPOT'!$C100*'MAIN DEPOT'!$D100</f>
        <v>32239</v>
      </c>
      <c r="G100" s="3">
        <v>46427</v>
      </c>
      <c r="H100" s="3">
        <f>H99+'MAIN DEPOT'!$G100</f>
        <v>677428</v>
      </c>
      <c r="I100" s="42">
        <f>I99+'MAIN DEPOT'!$F100-'MAIN DEPOT'!$E100-'MAIN DEPOT'!$G100</f>
        <v>357481</v>
      </c>
    </row>
    <row r="101" spans="1:9" ht="15">
      <c r="A101" s="39">
        <v>43212</v>
      </c>
      <c r="B101" s="31">
        <f t="shared" si="7"/>
        <v>38</v>
      </c>
      <c r="C101" s="3"/>
      <c r="D101" s="48">
        <v>103</v>
      </c>
      <c r="E101" s="3"/>
      <c r="F101" s="3">
        <f>'MAIN DEPOT'!$C101*'MAIN DEPOT'!$D101</f>
        <v>0</v>
      </c>
      <c r="G101" s="3">
        <v>20500</v>
      </c>
      <c r="H101" s="3"/>
      <c r="I101" s="42"/>
    </row>
    <row r="102" spans="1:9" ht="15">
      <c r="A102" s="39"/>
      <c r="B102" s="59"/>
      <c r="C102" s="3"/>
      <c r="D102" s="48"/>
      <c r="E102" s="3"/>
      <c r="F102" s="3"/>
      <c r="G102" s="3"/>
      <c r="H102" s="3"/>
      <c r="I102" s="42"/>
    </row>
    <row r="103" spans="1:9" ht="15">
      <c r="A103" s="39"/>
      <c r="B103" s="59"/>
      <c r="C103" s="3"/>
      <c r="D103" s="48"/>
      <c r="E103" s="3"/>
      <c r="F103" s="3"/>
      <c r="G103" s="3"/>
      <c r="H103" s="3">
        <f>MWANGULU!G126</f>
        <v>269199</v>
      </c>
      <c r="I103" s="42"/>
    </row>
    <row r="104" spans="1:9" ht="15">
      <c r="A104" s="41"/>
      <c r="B104" s="15"/>
      <c r="C104" s="15">
        <f>SUM(C87:C101)</f>
        <v>9962</v>
      </c>
      <c r="D104" s="15"/>
      <c r="E104" s="15">
        <f>SUM(E87:E100)</f>
        <v>17535</v>
      </c>
      <c r="F104" s="15">
        <f>SUM(F87:F100)</f>
        <v>1052444</v>
      </c>
      <c r="G104" s="15">
        <f>SUM(G87:G103)</f>
        <v>697928</v>
      </c>
      <c r="H104" s="15">
        <f>H100+H103</f>
        <v>946627</v>
      </c>
      <c r="I104" s="43"/>
    </row>
    <row r="105" spans="1:9" ht="15">
      <c r="A105" s="47"/>
      <c r="B105" s="48"/>
      <c r="C105" s="48"/>
      <c r="D105" s="48"/>
      <c r="E105" s="48"/>
      <c r="F105" s="3"/>
      <c r="G105" s="48"/>
      <c r="H105" s="48"/>
      <c r="I105" s="49"/>
    </row>
    <row r="106" spans="1:9" ht="15">
      <c r="A106" t="s">
        <v>48</v>
      </c>
      <c r="B106" s="20">
        <f>B101*D101</f>
        <v>3914</v>
      </c>
      <c r="E106" s="20">
        <f>E104+MWANGULU!H126</f>
        <v>23935</v>
      </c>
      <c r="G106" s="20">
        <f>G104+MWANGULU!G126</f>
        <v>967127</v>
      </c>
      <c r="I106"/>
    </row>
    <row r="107" spans="2:9" ht="15">
      <c r="B107" s="20"/>
      <c r="D107" s="20">
        <f>C110*103</f>
        <v>121128</v>
      </c>
      <c r="F107" s="20">
        <f>F104-H104</f>
        <v>105817</v>
      </c>
      <c r="H107" s="20">
        <f>G104-686272</f>
        <v>11656</v>
      </c>
      <c r="I107"/>
    </row>
    <row r="108" spans="2:9" ht="15">
      <c r="B108" t="s">
        <v>49</v>
      </c>
      <c r="C108" s="20">
        <f>129*20</f>
        <v>2580</v>
      </c>
      <c r="D108" s="20">
        <f>C111*106</f>
        <v>587876</v>
      </c>
      <c r="F108" s="20">
        <f>F107-E106</f>
        <v>81882</v>
      </c>
      <c r="I108"/>
    </row>
    <row r="109" spans="3:9" ht="15">
      <c r="C109" s="20">
        <f>C104-C108-660</f>
        <v>6722</v>
      </c>
      <c r="D109" s="20">
        <f>D107+D108</f>
        <v>709004</v>
      </c>
      <c r="F109" s="20"/>
      <c r="I109"/>
    </row>
    <row r="110" spans="3:9" ht="15">
      <c r="C110" s="20">
        <f>C98+C99+C100</f>
        <v>1176</v>
      </c>
      <c r="D110" s="20">
        <v>697928</v>
      </c>
      <c r="I110"/>
    </row>
    <row r="111" spans="3:9" ht="15">
      <c r="C111" s="20">
        <f>C109-C110</f>
        <v>5546</v>
      </c>
      <c r="D111" s="20">
        <f>D109-D110-E104</f>
        <v>-6459</v>
      </c>
      <c r="I111"/>
    </row>
    <row r="112" spans="3:9" ht="21">
      <c r="C112" s="4"/>
      <c r="D112" s="4"/>
      <c r="E112" s="4"/>
      <c r="F112" s="57" t="s">
        <v>45</v>
      </c>
      <c r="G112" s="57"/>
      <c r="H112" s="57"/>
      <c r="I112"/>
    </row>
    <row r="114" spans="1:9" ht="15">
      <c r="A114" s="44" t="s">
        <v>0</v>
      </c>
      <c r="B114" s="45" t="s">
        <v>2</v>
      </c>
      <c r="C114" s="45" t="s">
        <v>1</v>
      </c>
      <c r="D114" s="45" t="s">
        <v>5</v>
      </c>
      <c r="E114" s="45" t="s">
        <v>6</v>
      </c>
      <c r="F114" s="45" t="s">
        <v>4</v>
      </c>
      <c r="G114" s="45" t="s">
        <v>3</v>
      </c>
      <c r="H114" s="45" t="s">
        <v>9</v>
      </c>
      <c r="I114" s="46" t="s">
        <v>8</v>
      </c>
    </row>
    <row r="115" spans="1:9" ht="15">
      <c r="A115" s="56"/>
      <c r="B115" s="28">
        <v>10000</v>
      </c>
      <c r="C115" s="28"/>
      <c r="D115" s="28">
        <v>103</v>
      </c>
      <c r="E115" s="50"/>
      <c r="F115" s="50">
        <f>'MAIN DEPOT'!$D115*'MAIN DEPOT'!$B115</f>
        <v>1030000</v>
      </c>
      <c r="G115" s="50"/>
      <c r="H115" s="50">
        <f>'MAIN DEPOT'!$F115-'MAIN DEPOT'!$E115</f>
        <v>1030000</v>
      </c>
      <c r="I115" s="51">
        <f>'MAIN DEPOT'!$H115-'MAIN DEPOT'!$G115</f>
        <v>1030000</v>
      </c>
    </row>
    <row r="116" spans="1:9" ht="15">
      <c r="A116" s="39">
        <v>43212</v>
      </c>
      <c r="B116" s="3">
        <v>10000</v>
      </c>
      <c r="C116" s="3">
        <v>1018</v>
      </c>
      <c r="D116" s="3">
        <v>103</v>
      </c>
      <c r="E116" s="31">
        <v>950</v>
      </c>
      <c r="F116" s="3">
        <f>'MAIN DEPOT'!$D116*'MAIN DEPOT'!$C116</f>
        <v>104854</v>
      </c>
      <c r="G116" s="8">
        <v>5000</v>
      </c>
      <c r="H116" s="3">
        <f>'MAIN DEPOT'!$G116</f>
        <v>5000</v>
      </c>
      <c r="I116" s="42">
        <f>'MAIN DEPOT'!$F116-'MAIN DEPOT'!$E116-'MAIN DEPOT'!$G116</f>
        <v>98904</v>
      </c>
    </row>
    <row r="117" spans="1:11" ht="15">
      <c r="A117" s="39">
        <v>43213</v>
      </c>
      <c r="B117" s="3">
        <f>B116-C116</f>
        <v>8982</v>
      </c>
      <c r="C117" s="25">
        <v>1382</v>
      </c>
      <c r="D117" s="3">
        <v>103</v>
      </c>
      <c r="E117" s="30">
        <f>1500+1000+300</f>
        <v>2800</v>
      </c>
      <c r="F117" s="3">
        <f>'MAIN DEPOT'!$D117*'MAIN DEPOT'!$C117</f>
        <v>142346</v>
      </c>
      <c r="G117" s="26">
        <v>35000</v>
      </c>
      <c r="H117" s="3">
        <f>H116+'MAIN DEPOT'!$G117</f>
        <v>40000</v>
      </c>
      <c r="I117" s="42">
        <f>I116+'MAIN DEPOT'!$F117-'MAIN DEPOT'!$E117-'MAIN DEPOT'!$G117</f>
        <v>203450</v>
      </c>
      <c r="J117">
        <v>35000</v>
      </c>
      <c r="K117" t="s">
        <v>54</v>
      </c>
    </row>
    <row r="118" spans="1:9" ht="15">
      <c r="A118" s="39">
        <v>43214</v>
      </c>
      <c r="B118" s="31">
        <f>B117-C117</f>
        <v>7600</v>
      </c>
      <c r="C118" s="3">
        <v>531</v>
      </c>
      <c r="D118" s="3">
        <v>103</v>
      </c>
      <c r="E118" s="3">
        <v>250</v>
      </c>
      <c r="F118" s="3">
        <f>'MAIN DEPOT'!$D118*'MAIN DEPOT'!$C118</f>
        <v>54693</v>
      </c>
      <c r="G118" s="3"/>
      <c r="H118" s="3">
        <f>H117+'MAIN DEPOT'!$G118</f>
        <v>40000</v>
      </c>
      <c r="I118" s="42">
        <f>I117+'MAIN DEPOT'!$F118-'MAIN DEPOT'!$E118-'MAIN DEPOT'!$G118</f>
        <v>257893</v>
      </c>
    </row>
    <row r="119" spans="1:10" ht="15">
      <c r="A119" s="39">
        <v>43215</v>
      </c>
      <c r="B119" s="31">
        <f>B118-C118</f>
        <v>7069</v>
      </c>
      <c r="C119" s="3">
        <v>270</v>
      </c>
      <c r="D119" s="3">
        <v>103</v>
      </c>
      <c r="E119" s="3">
        <v>450</v>
      </c>
      <c r="F119" s="3">
        <f>'MAIN DEPOT'!$D119*'MAIN DEPOT'!$C119</f>
        <v>27810</v>
      </c>
      <c r="G119" s="3">
        <f>70000+20150</f>
        <v>90150</v>
      </c>
      <c r="H119" s="3">
        <f>H118+'MAIN DEPOT'!$G119</f>
        <v>130150</v>
      </c>
      <c r="I119" s="42">
        <f>I118+'MAIN DEPOT'!$F119-'MAIN DEPOT'!$E119-'MAIN DEPOT'!$G119</f>
        <v>195103</v>
      </c>
      <c r="J119">
        <v>42000</v>
      </c>
    </row>
    <row r="120" spans="1:11" ht="15">
      <c r="A120" s="39">
        <v>43216</v>
      </c>
      <c r="B120" s="31">
        <f aca="true" t="shared" si="8" ref="B120:B130">B119-C119</f>
        <v>6799</v>
      </c>
      <c r="C120" s="3">
        <v>1861</v>
      </c>
      <c r="D120" s="3">
        <v>103</v>
      </c>
      <c r="E120" s="3">
        <f>2500+2000+100+200</f>
        <v>4800</v>
      </c>
      <c r="F120" s="3">
        <f>'MAIN DEPOT'!$D120*'MAIN DEPOT'!$C120</f>
        <v>191683</v>
      </c>
      <c r="G120" s="3">
        <f>44158+40452</f>
        <v>84610</v>
      </c>
      <c r="H120" s="3">
        <f>H119+'MAIN DEPOT'!$G120</f>
        <v>214760</v>
      </c>
      <c r="I120" s="42">
        <f>I119+'MAIN DEPOT'!$F120-'MAIN DEPOT'!$E120-'MAIN DEPOT'!$G120</f>
        <v>297376</v>
      </c>
      <c r="J120">
        <v>40452</v>
      </c>
      <c r="K120">
        <v>16570</v>
      </c>
    </row>
    <row r="121" spans="1:11" ht="15">
      <c r="A121" s="39">
        <v>43217</v>
      </c>
      <c r="B121" s="31">
        <f t="shared" si="8"/>
        <v>4938</v>
      </c>
      <c r="C121" s="3">
        <v>803</v>
      </c>
      <c r="D121" s="3">
        <v>103</v>
      </c>
      <c r="E121" s="3">
        <v>0</v>
      </c>
      <c r="F121" s="3">
        <f>'MAIN DEPOT'!$D121*'MAIN DEPOT'!$C121</f>
        <v>82709</v>
      </c>
      <c r="G121" s="3">
        <f>40816+2500</f>
        <v>43316</v>
      </c>
      <c r="H121" s="3">
        <f>H120+'MAIN DEPOT'!$G121</f>
        <v>258076</v>
      </c>
      <c r="I121" s="42">
        <f>I120+'MAIN DEPOT'!$F121-'MAIN DEPOT'!$E121-'MAIN DEPOT'!$G121</f>
        <v>336769</v>
      </c>
      <c r="J121">
        <v>2500</v>
      </c>
      <c r="K121" t="s">
        <v>55</v>
      </c>
    </row>
    <row r="122" spans="1:10" ht="15">
      <c r="A122" s="39">
        <v>43218</v>
      </c>
      <c r="B122" s="31">
        <f t="shared" si="8"/>
        <v>4135</v>
      </c>
      <c r="C122" s="3">
        <v>615</v>
      </c>
      <c r="D122" s="3">
        <v>103</v>
      </c>
      <c r="E122" s="3">
        <v>300</v>
      </c>
      <c r="F122" s="3">
        <f>'MAIN DEPOT'!$D122*'MAIN DEPOT'!$C122</f>
        <v>63345</v>
      </c>
      <c r="G122" s="3">
        <f>65600+32000</f>
        <v>97600</v>
      </c>
      <c r="H122" s="3">
        <f>H121+'MAIN DEPOT'!$G122</f>
        <v>355676</v>
      </c>
      <c r="I122" s="42">
        <f>I121+'MAIN DEPOT'!$F122-'MAIN DEPOT'!$E122-'MAIN DEPOT'!$G122</f>
        <v>302214</v>
      </c>
      <c r="J122">
        <v>77000</v>
      </c>
    </row>
    <row r="123" spans="1:10" ht="15">
      <c r="A123" s="39">
        <v>43219</v>
      </c>
      <c r="B123" s="31">
        <f t="shared" si="8"/>
        <v>3520</v>
      </c>
      <c r="C123" s="3">
        <v>565</v>
      </c>
      <c r="D123" s="3">
        <v>103</v>
      </c>
      <c r="E123" s="3"/>
      <c r="F123" s="3">
        <f>'MAIN DEPOT'!$D123*'MAIN DEPOT'!$C123</f>
        <v>58195</v>
      </c>
      <c r="G123" s="3"/>
      <c r="H123" s="3">
        <f>H122+'MAIN DEPOT'!$G123</f>
        <v>355676</v>
      </c>
      <c r="I123" s="42">
        <f>I122+'MAIN DEPOT'!$F123-'MAIN DEPOT'!$E123-'MAIN DEPOT'!$G123</f>
        <v>360409</v>
      </c>
      <c r="J123">
        <v>60000</v>
      </c>
    </row>
    <row r="124" spans="1:9" ht="15">
      <c r="A124" s="39">
        <v>43220</v>
      </c>
      <c r="B124" s="31">
        <f t="shared" si="8"/>
        <v>2955</v>
      </c>
      <c r="C124" s="3">
        <v>635</v>
      </c>
      <c r="D124" s="3">
        <v>103</v>
      </c>
      <c r="E124" s="3">
        <v>300</v>
      </c>
      <c r="F124" s="3">
        <f>'MAIN DEPOT'!$D124*'MAIN DEPOT'!$C124</f>
        <v>65405</v>
      </c>
      <c r="G124" s="3">
        <v>70000</v>
      </c>
      <c r="H124" s="3">
        <f>H123+'MAIN DEPOT'!$G124</f>
        <v>425676</v>
      </c>
      <c r="I124" s="42">
        <f>I123+'MAIN DEPOT'!$F124-'MAIN DEPOT'!$E124-'MAIN DEPOT'!$G124</f>
        <v>355514</v>
      </c>
    </row>
    <row r="125" spans="1:10" ht="15">
      <c r="A125" s="39">
        <v>43221</v>
      </c>
      <c r="B125" s="31">
        <f t="shared" si="8"/>
        <v>2320</v>
      </c>
      <c r="C125" s="3">
        <v>655</v>
      </c>
      <c r="D125" s="3">
        <v>103</v>
      </c>
      <c r="E125" s="3">
        <f>1000+1000+250</f>
        <v>2250</v>
      </c>
      <c r="F125" s="3">
        <f>'MAIN DEPOT'!$D125*'MAIN DEPOT'!$C125</f>
        <v>67465</v>
      </c>
      <c r="G125" s="3">
        <f>60800+33200</f>
        <v>94000</v>
      </c>
      <c r="H125" s="3">
        <f>H124+'MAIN DEPOT'!$G125</f>
        <v>519676</v>
      </c>
      <c r="I125" s="42">
        <f>I124+'MAIN DEPOT'!$F125-'MAIN DEPOT'!$E125-'MAIN DEPOT'!$G125</f>
        <v>326729</v>
      </c>
      <c r="J125">
        <v>30000</v>
      </c>
    </row>
    <row r="126" spans="1:10" ht="15">
      <c r="A126" s="39">
        <v>43222</v>
      </c>
      <c r="B126" s="31">
        <f t="shared" si="8"/>
        <v>1665</v>
      </c>
      <c r="C126" s="3">
        <v>535</v>
      </c>
      <c r="D126" s="3">
        <v>103</v>
      </c>
      <c r="E126" s="3">
        <f>750+800</f>
        <v>1550</v>
      </c>
      <c r="F126" s="3">
        <f>'MAIN DEPOT'!$D126*'MAIN DEPOT'!$C126</f>
        <v>55105</v>
      </c>
      <c r="G126" s="3">
        <f>23400-12360</f>
        <v>11040</v>
      </c>
      <c r="H126" s="3">
        <f>H125+'MAIN DEPOT'!$G126</f>
        <v>530716</v>
      </c>
      <c r="I126" s="42">
        <f>I125+'MAIN DEPOT'!$F126-'MAIN DEPOT'!$E126-'MAIN DEPOT'!$G126</f>
        <v>369244</v>
      </c>
      <c r="J126">
        <v>31000</v>
      </c>
    </row>
    <row r="127" spans="1:9" ht="15">
      <c r="A127" s="39">
        <v>43223</v>
      </c>
      <c r="B127" s="31">
        <f t="shared" si="8"/>
        <v>1130</v>
      </c>
      <c r="C127" s="3">
        <v>265</v>
      </c>
      <c r="D127" s="3">
        <v>103</v>
      </c>
      <c r="E127" s="3">
        <v>1000</v>
      </c>
      <c r="F127" s="3">
        <f>'MAIN DEPOT'!$D127*'MAIN DEPOT'!$C127</f>
        <v>27295</v>
      </c>
      <c r="G127" s="3">
        <f>100+15531+1411+400</f>
        <v>17442</v>
      </c>
      <c r="H127" s="3">
        <f>H126+'MAIN DEPOT'!$G127</f>
        <v>548158</v>
      </c>
      <c r="I127" s="42">
        <f>I126+'MAIN DEPOT'!$F127-'MAIN DEPOT'!$E127-'MAIN DEPOT'!$G127</f>
        <v>378097</v>
      </c>
    </row>
    <row r="128" spans="1:10" ht="15">
      <c r="A128" s="39">
        <v>43224</v>
      </c>
      <c r="B128" s="31">
        <f t="shared" si="8"/>
        <v>865</v>
      </c>
      <c r="C128" s="3">
        <v>547</v>
      </c>
      <c r="D128" s="3">
        <v>103</v>
      </c>
      <c r="E128" s="3">
        <f>1000+1000</f>
        <v>2000</v>
      </c>
      <c r="F128" s="3">
        <f>'MAIN DEPOT'!$D128*'MAIN DEPOT'!$C128</f>
        <v>56341</v>
      </c>
      <c r="G128" s="3">
        <v>18441</v>
      </c>
      <c r="H128" s="3">
        <f>H127+'MAIN DEPOT'!$G128</f>
        <v>566599</v>
      </c>
      <c r="I128" s="42">
        <f>I127+'MAIN DEPOT'!$F128-'MAIN DEPOT'!$E128-'MAIN DEPOT'!$G128</f>
        <v>413997</v>
      </c>
      <c r="J128">
        <v>38000</v>
      </c>
    </row>
    <row r="129" spans="1:9" ht="15">
      <c r="A129" s="39">
        <v>43225</v>
      </c>
      <c r="B129" s="31">
        <f t="shared" si="8"/>
        <v>318</v>
      </c>
      <c r="C129" s="3">
        <v>293</v>
      </c>
      <c r="D129" s="3">
        <v>103</v>
      </c>
      <c r="E129" s="3">
        <v>0</v>
      </c>
      <c r="F129" s="3">
        <f>'MAIN DEPOT'!$D129*'MAIN DEPOT'!$C129</f>
        <v>30179</v>
      </c>
      <c r="G129" s="3">
        <v>3336</v>
      </c>
      <c r="H129" s="3">
        <f>H128+'MAIN DEPOT'!$G129</f>
        <v>569935</v>
      </c>
      <c r="I129" s="42">
        <f>I128+'MAIN DEPOT'!$F129-'MAIN DEPOT'!$E129-'MAIN DEPOT'!$G129</f>
        <v>440840</v>
      </c>
    </row>
    <row r="130" spans="1:10" ht="15">
      <c r="A130" s="39">
        <v>43226</v>
      </c>
      <c r="B130" s="31">
        <f t="shared" si="8"/>
        <v>25</v>
      </c>
      <c r="C130" s="3"/>
      <c r="D130" s="3">
        <v>103</v>
      </c>
      <c r="E130" s="3"/>
      <c r="F130" s="3"/>
      <c r="G130" s="3">
        <f>20500+15000+6000+6000+4000</f>
        <v>51500</v>
      </c>
      <c r="H130" s="3">
        <f>H129+'MAIN DEPOT'!$G130</f>
        <v>621435</v>
      </c>
      <c r="I130" s="42">
        <f>I129+'MAIN DEPOT'!$F130-'MAIN DEPOT'!$E130-'MAIN DEPOT'!$G130</f>
        <v>389340</v>
      </c>
      <c r="J130">
        <v>40000</v>
      </c>
    </row>
    <row r="131" spans="1:9" ht="15">
      <c r="A131" s="39"/>
      <c r="B131" s="59"/>
      <c r="C131" s="3"/>
      <c r="D131" s="48"/>
      <c r="E131" s="3"/>
      <c r="F131" s="3"/>
      <c r="G131" s="3"/>
      <c r="H131" s="3"/>
      <c r="I131" s="42"/>
    </row>
    <row r="132" spans="1:9" ht="15">
      <c r="A132" s="41"/>
      <c r="B132" s="15"/>
      <c r="C132" s="15">
        <f>SUM(C115:C130)</f>
        <v>9975</v>
      </c>
      <c r="D132" s="15"/>
      <c r="E132" s="15">
        <f>SUM(E116:E130)</f>
        <v>16650</v>
      </c>
      <c r="F132" s="15">
        <f>SUM(F116:F130)</f>
        <v>1027425</v>
      </c>
      <c r="G132" s="15">
        <f>SUM(G116:G130)</f>
        <v>621435</v>
      </c>
      <c r="H132" s="15"/>
      <c r="I132" s="42"/>
    </row>
    <row r="133" spans="1:9" ht="15">
      <c r="A133" s="47"/>
      <c r="B133" s="31"/>
      <c r="C133" s="48"/>
      <c r="D133" s="48"/>
      <c r="E133" s="48"/>
      <c r="F133" s="3"/>
      <c r="G133" s="48"/>
      <c r="H133" s="3"/>
      <c r="I133" s="42"/>
    </row>
    <row r="134" spans="1:9" s="12" customFormat="1" ht="15">
      <c r="A134" s="60" t="s">
        <v>26</v>
      </c>
      <c r="B134" s="8"/>
      <c r="C134" s="8">
        <f>MWANGULU!D151*20</f>
        <v>3560</v>
      </c>
      <c r="D134" s="8"/>
      <c r="E134" s="8">
        <f>MWANGULU!H151</f>
        <v>8750</v>
      </c>
      <c r="F134" s="8">
        <f>MWANGULU!F151</f>
        <v>370240</v>
      </c>
      <c r="G134" s="8">
        <f>MWANGULU!G151</f>
        <v>361490</v>
      </c>
      <c r="H134" s="8"/>
      <c r="I134" s="61"/>
    </row>
    <row r="135" spans="1:9" s="12" customFormat="1" ht="15">
      <c r="A135" s="63"/>
      <c r="B135" s="64"/>
      <c r="C135" s="64"/>
      <c r="D135" s="64"/>
      <c r="E135" s="64"/>
      <c r="F135" s="64"/>
      <c r="G135" s="64">
        <f>G132+G134</f>
        <v>982925</v>
      </c>
      <c r="H135" s="64">
        <f>F132-G135</f>
        <v>44500</v>
      </c>
      <c r="I135" s="65"/>
    </row>
    <row r="136" spans="2:8" ht="15">
      <c r="B136" s="62" t="s">
        <v>52</v>
      </c>
      <c r="C136" s="53">
        <f>MWANGULU!C149*20</f>
        <v>220</v>
      </c>
      <c r="D136" s="12"/>
      <c r="E136" s="12"/>
      <c r="F136" s="12"/>
      <c r="G136" s="12"/>
      <c r="H136" s="20"/>
    </row>
    <row r="137" spans="2:8" ht="15">
      <c r="B137" s="12" t="s">
        <v>51</v>
      </c>
      <c r="C137" s="53">
        <f>C132-C134-C136</f>
        <v>6195</v>
      </c>
      <c r="D137" s="12"/>
      <c r="E137" s="12" t="s">
        <v>50</v>
      </c>
      <c r="F137" s="53">
        <f>C137*D130</f>
        <v>638085</v>
      </c>
      <c r="G137" s="12"/>
      <c r="H137" s="20"/>
    </row>
    <row r="138" spans="3:9" ht="15">
      <c r="C138" s="12"/>
      <c r="D138" s="12"/>
      <c r="E138" s="12" t="s">
        <v>53</v>
      </c>
      <c r="F138" s="53">
        <f>F137-E132-G132</f>
        <v>0</v>
      </c>
      <c r="G138" s="53">
        <f>F134-E134-G134</f>
        <v>0</v>
      </c>
      <c r="H138" s="20"/>
      <c r="I138" s="55">
        <f>G135-G117</f>
        <v>947925</v>
      </c>
    </row>
    <row r="139" ht="15">
      <c r="H139" s="20"/>
    </row>
    <row r="141" spans="3:10" ht="21">
      <c r="C141" s="4"/>
      <c r="D141" s="4"/>
      <c r="E141" s="4"/>
      <c r="F141" s="57" t="s">
        <v>57</v>
      </c>
      <c r="G141" s="57"/>
      <c r="H141" s="57"/>
      <c r="I141">
        <v>780</v>
      </c>
      <c r="J141">
        <v>103</v>
      </c>
    </row>
    <row r="142" spans="9:10" ht="15">
      <c r="I142" s="17">
        <v>984</v>
      </c>
      <c r="J142">
        <v>104</v>
      </c>
    </row>
    <row r="143" spans="1:9" ht="15">
      <c r="A143" s="44" t="s">
        <v>0</v>
      </c>
      <c r="B143" s="45" t="s">
        <v>2</v>
      </c>
      <c r="C143" s="45" t="s">
        <v>1</v>
      </c>
      <c r="D143" s="45" t="s">
        <v>5</v>
      </c>
      <c r="E143" s="45" t="s">
        <v>6</v>
      </c>
      <c r="F143" s="45" t="s">
        <v>4</v>
      </c>
      <c r="G143" s="45" t="s">
        <v>3</v>
      </c>
      <c r="H143" s="45" t="s">
        <v>9</v>
      </c>
      <c r="I143" s="46" t="s">
        <v>8</v>
      </c>
    </row>
    <row r="144" spans="1:9" ht="15">
      <c r="A144" s="56"/>
      <c r="B144" s="28">
        <v>10000</v>
      </c>
      <c r="C144" s="28"/>
      <c r="D144" s="28">
        <v>104</v>
      </c>
      <c r="E144" s="50"/>
      <c r="F144" s="50">
        <f>'MAIN DEPOT'!$D144*'MAIN DEPOT'!$B144</f>
        <v>1040000</v>
      </c>
      <c r="G144" s="50"/>
      <c r="H144" s="50">
        <f>'MAIN DEPOT'!$F144-'MAIN DEPOT'!$E144</f>
        <v>1040000</v>
      </c>
      <c r="I144" s="51">
        <f>'MAIN DEPOT'!$H144-'MAIN DEPOT'!$G144</f>
        <v>1040000</v>
      </c>
    </row>
    <row r="145" spans="1:10" ht="15">
      <c r="A145" s="39">
        <v>43225</v>
      </c>
      <c r="B145" s="3">
        <v>10000</v>
      </c>
      <c r="C145" s="3"/>
      <c r="D145" s="3">
        <v>104</v>
      </c>
      <c r="E145" s="31"/>
      <c r="F145" s="3">
        <f>'MAIN DEPOT'!$D145*'MAIN DEPOT'!$C145</f>
        <v>0</v>
      </c>
      <c r="G145" s="8"/>
      <c r="H145" s="3">
        <f>'MAIN DEPOT'!$G145</f>
        <v>0</v>
      </c>
      <c r="I145" s="42">
        <f>'MAIN DEPOT'!$F145-'MAIN DEPOT'!$E145-'MAIN DEPOT'!$G145</f>
        <v>0</v>
      </c>
      <c r="J145">
        <f>I141+I142</f>
        <v>1764</v>
      </c>
    </row>
    <row r="146" spans="1:9" ht="15">
      <c r="A146" s="39">
        <v>43226</v>
      </c>
      <c r="B146" s="3">
        <f>B145-C145</f>
        <v>10000</v>
      </c>
      <c r="C146" s="25">
        <v>1764</v>
      </c>
      <c r="D146" s="3">
        <v>104</v>
      </c>
      <c r="E146" s="30">
        <v>1500</v>
      </c>
      <c r="F146" s="3">
        <f>(780*103)+(984*104)</f>
        <v>182676</v>
      </c>
      <c r="G146" s="26">
        <f>4200+800+220</f>
        <v>5220</v>
      </c>
      <c r="H146" s="3">
        <f>H145+'MAIN DEPOT'!$G146</f>
        <v>5220</v>
      </c>
      <c r="I146" s="42">
        <f>I145+'MAIN DEPOT'!$F146-'MAIN DEPOT'!$E146-'MAIN DEPOT'!$G146</f>
        <v>175956</v>
      </c>
    </row>
    <row r="147" spans="1:9" ht="15">
      <c r="A147" s="39">
        <v>43227</v>
      </c>
      <c r="B147" s="31">
        <f>B146-C146</f>
        <v>8236</v>
      </c>
      <c r="C147" s="3">
        <v>683</v>
      </c>
      <c r="D147" s="3">
        <v>104</v>
      </c>
      <c r="E147" s="3">
        <f>1500+2200+2000+10000</f>
        <v>15700</v>
      </c>
      <c r="F147" s="3">
        <f>'MAIN DEPOT'!$D147*'MAIN DEPOT'!$C147</f>
        <v>71032</v>
      </c>
      <c r="G147" s="3">
        <v>63600</v>
      </c>
      <c r="H147" s="3">
        <f>H146+'MAIN DEPOT'!$G147</f>
        <v>68820</v>
      </c>
      <c r="I147" s="42">
        <f>I146+'MAIN DEPOT'!$F147-'MAIN DEPOT'!$E147-'MAIN DEPOT'!$G147</f>
        <v>167688</v>
      </c>
    </row>
    <row r="148" spans="1:9" ht="15">
      <c r="A148" s="39">
        <v>43228</v>
      </c>
      <c r="B148" s="31">
        <f>B147-C147</f>
        <v>7553</v>
      </c>
      <c r="C148" s="3">
        <v>835</v>
      </c>
      <c r="D148" s="3">
        <v>104</v>
      </c>
      <c r="E148" s="3">
        <f>2527+300+1000</f>
        <v>3827</v>
      </c>
      <c r="F148" s="3">
        <f>'MAIN DEPOT'!$D148*'MAIN DEPOT'!$C148</f>
        <v>86840</v>
      </c>
      <c r="G148" s="3">
        <f>1000+70000</f>
        <v>71000</v>
      </c>
      <c r="H148" s="3">
        <f>H147+'MAIN DEPOT'!$G148</f>
        <v>139820</v>
      </c>
      <c r="I148" s="42">
        <f>I147+'MAIN DEPOT'!$F148-'MAIN DEPOT'!$E148-'MAIN DEPOT'!$G148</f>
        <v>179701</v>
      </c>
    </row>
    <row r="149" spans="1:9" ht="15">
      <c r="A149" s="39">
        <v>43229</v>
      </c>
      <c r="B149" s="31">
        <f aca="true" t="shared" si="9" ref="B149:B157">B148-C148</f>
        <v>6718</v>
      </c>
      <c r="C149" s="3">
        <v>1235</v>
      </c>
      <c r="D149" s="3">
        <v>104</v>
      </c>
      <c r="E149" s="3">
        <f>1000+250</f>
        <v>1250</v>
      </c>
      <c r="F149" s="3">
        <f>'MAIN DEPOT'!$D149*'MAIN DEPOT'!$C149</f>
        <v>128440</v>
      </c>
      <c r="G149" s="3">
        <v>49048</v>
      </c>
      <c r="H149" s="3">
        <f>H148+'MAIN DEPOT'!$G149</f>
        <v>188868</v>
      </c>
      <c r="I149" s="42">
        <f>I148+'MAIN DEPOT'!$F149-'MAIN DEPOT'!$E149-'MAIN DEPOT'!$G149</f>
        <v>257843</v>
      </c>
    </row>
    <row r="150" spans="1:9" ht="15">
      <c r="A150" s="39">
        <v>43230</v>
      </c>
      <c r="B150" s="31">
        <f t="shared" si="9"/>
        <v>5483</v>
      </c>
      <c r="C150" s="3">
        <v>564</v>
      </c>
      <c r="D150" s="3">
        <v>104</v>
      </c>
      <c r="E150" s="3">
        <f>1250</f>
        <v>1250</v>
      </c>
      <c r="F150" s="3">
        <f>'MAIN DEPOT'!$D150*'MAIN DEPOT'!$C150</f>
        <v>58656</v>
      </c>
      <c r="G150" s="3">
        <f>5800</f>
        <v>5800</v>
      </c>
      <c r="H150" s="3">
        <f>H149+'MAIN DEPOT'!$G150</f>
        <v>194668</v>
      </c>
      <c r="I150" s="42">
        <f>I149+'MAIN DEPOT'!$F150-'MAIN DEPOT'!$E150-'MAIN DEPOT'!$G150</f>
        <v>309449</v>
      </c>
    </row>
    <row r="151" spans="1:10" ht="15">
      <c r="A151" s="39">
        <v>43231</v>
      </c>
      <c r="B151" s="31">
        <f t="shared" si="9"/>
        <v>4919</v>
      </c>
      <c r="C151" s="3">
        <v>896</v>
      </c>
      <c r="D151" s="3">
        <v>104</v>
      </c>
      <c r="E151" s="3">
        <v>900</v>
      </c>
      <c r="F151" s="3">
        <f>'MAIN DEPOT'!$D151*'MAIN DEPOT'!$C151</f>
        <v>93184</v>
      </c>
      <c r="G151" s="3">
        <f>4000+46773</f>
        <v>50773</v>
      </c>
      <c r="H151" s="3">
        <f>H150+'MAIN DEPOT'!$G151</f>
        <v>245441</v>
      </c>
      <c r="I151" s="42">
        <f>I150+'MAIN DEPOT'!$F151-'MAIN DEPOT'!$E151-'MAIN DEPOT'!$G151</f>
        <v>350960</v>
      </c>
      <c r="J151">
        <v>30000</v>
      </c>
    </row>
    <row r="152" spans="1:10" ht="15">
      <c r="A152" s="39">
        <v>43232</v>
      </c>
      <c r="B152" s="31">
        <f t="shared" si="9"/>
        <v>4023</v>
      </c>
      <c r="C152" s="3">
        <v>445</v>
      </c>
      <c r="D152" s="3">
        <v>104</v>
      </c>
      <c r="E152" s="3">
        <v>300</v>
      </c>
      <c r="F152" s="3">
        <f>'MAIN DEPOT'!$D152*'MAIN DEPOT'!$C152</f>
        <v>46280</v>
      </c>
      <c r="G152" s="3">
        <f>10000+6700+10085+70000</f>
        <v>96785</v>
      </c>
      <c r="H152" s="3">
        <f>H151+'MAIN DEPOT'!$G152</f>
        <v>342226</v>
      </c>
      <c r="I152" s="42">
        <f>I151+'MAIN DEPOT'!$F152-'MAIN DEPOT'!$E152-'MAIN DEPOT'!$G152</f>
        <v>300155</v>
      </c>
      <c r="J152">
        <v>30000</v>
      </c>
    </row>
    <row r="153" spans="1:9" ht="15">
      <c r="A153" s="39">
        <v>43233</v>
      </c>
      <c r="B153" s="31">
        <f t="shared" si="9"/>
        <v>3578</v>
      </c>
      <c r="C153" s="3">
        <v>1448</v>
      </c>
      <c r="D153" s="3">
        <v>104</v>
      </c>
      <c r="E153" s="3">
        <f>1300+3000</f>
        <v>4300</v>
      </c>
      <c r="F153" s="3">
        <f>'MAIN DEPOT'!$D153*'MAIN DEPOT'!$C153</f>
        <v>150592</v>
      </c>
      <c r="G153" s="3">
        <f>10085+70000+36312</f>
        <v>116397</v>
      </c>
      <c r="H153" s="3">
        <f>H152+'MAIN DEPOT'!$G153</f>
        <v>458623</v>
      </c>
      <c r="I153" s="42">
        <f>I152+'MAIN DEPOT'!$F153-'MAIN DEPOT'!$E153-'MAIN DEPOT'!$G153</f>
        <v>330050</v>
      </c>
    </row>
    <row r="154" spans="1:10" ht="15">
      <c r="A154" s="39">
        <v>43234</v>
      </c>
      <c r="B154" s="31">
        <f t="shared" si="9"/>
        <v>2130</v>
      </c>
      <c r="C154" s="3">
        <v>943</v>
      </c>
      <c r="D154" s="3">
        <v>104</v>
      </c>
      <c r="E154" s="3">
        <f>1600+500</f>
        <v>2100</v>
      </c>
      <c r="F154" s="3">
        <f>'MAIN DEPOT'!$D154*'MAIN DEPOT'!$C154</f>
        <v>98072</v>
      </c>
      <c r="G154" s="3">
        <f>8000+60000</f>
        <v>68000</v>
      </c>
      <c r="H154" s="3">
        <f>H153+'MAIN DEPOT'!$G154</f>
        <v>526623</v>
      </c>
      <c r="I154" s="42">
        <f>I153+'MAIN DEPOT'!$F154-'MAIN DEPOT'!$E154-'MAIN DEPOT'!$G154</f>
        <v>358022</v>
      </c>
      <c r="J154">
        <v>80000</v>
      </c>
    </row>
    <row r="155" spans="1:9" ht="15">
      <c r="A155" s="39">
        <v>43235</v>
      </c>
      <c r="B155" s="31">
        <f t="shared" si="9"/>
        <v>1187</v>
      </c>
      <c r="C155" s="3">
        <v>421</v>
      </c>
      <c r="D155" s="3">
        <v>104</v>
      </c>
      <c r="E155" s="3">
        <v>450</v>
      </c>
      <c r="F155" s="3">
        <f>'MAIN DEPOT'!$D155*'MAIN DEPOT'!$C155</f>
        <v>43784</v>
      </c>
      <c r="G155" s="3">
        <v>43784</v>
      </c>
      <c r="H155" s="3">
        <f>H154+'MAIN DEPOT'!$G155</f>
        <v>570407</v>
      </c>
      <c r="I155" s="42">
        <f>I154+'MAIN DEPOT'!$F155-'MAIN DEPOT'!$E155-'MAIN DEPOT'!$G155</f>
        <v>357572</v>
      </c>
    </row>
    <row r="156" spans="1:9" ht="15">
      <c r="A156" s="39">
        <v>43236</v>
      </c>
      <c r="B156" s="31">
        <f t="shared" si="9"/>
        <v>766</v>
      </c>
      <c r="C156" s="3">
        <v>715</v>
      </c>
      <c r="D156" s="3">
        <v>104</v>
      </c>
      <c r="E156" s="3">
        <v>300</v>
      </c>
      <c r="F156" s="3">
        <f>'MAIN DEPOT'!$D156*'MAIN DEPOT'!$C156</f>
        <v>74360</v>
      </c>
      <c r="G156" s="3">
        <f>J157-G155</f>
        <v>35616</v>
      </c>
      <c r="H156" s="3">
        <f>H155+'MAIN DEPOT'!$G156</f>
        <v>606023</v>
      </c>
      <c r="I156" s="42">
        <f>I155+'MAIN DEPOT'!$F156-'MAIN DEPOT'!$E156-'MAIN DEPOT'!$G156</f>
        <v>396016</v>
      </c>
    </row>
    <row r="157" spans="1:10" ht="15">
      <c r="A157" s="39">
        <v>43237</v>
      </c>
      <c r="B157" s="31">
        <f t="shared" si="9"/>
        <v>51</v>
      </c>
      <c r="C157" s="3"/>
      <c r="D157" s="3">
        <v>104</v>
      </c>
      <c r="E157" s="3">
        <f>250+1100</f>
        <v>1350</v>
      </c>
      <c r="F157" s="3">
        <f>'MAIN DEPOT'!$D157*'MAIN DEPOT'!$C157</f>
        <v>0</v>
      </c>
      <c r="G157" s="3">
        <v>27504</v>
      </c>
      <c r="H157" s="3">
        <f>H156+'MAIN DEPOT'!$G157</f>
        <v>633527</v>
      </c>
      <c r="I157" s="42">
        <f>I156+'MAIN DEPOT'!$F157-'MAIN DEPOT'!$E157-'MAIN DEPOT'!$G157</f>
        <v>367162</v>
      </c>
      <c r="J157">
        <v>79400</v>
      </c>
    </row>
    <row r="158" spans="1:9" ht="15">
      <c r="A158" s="41"/>
      <c r="B158" s="15"/>
      <c r="C158" s="15">
        <f>SUM(C144:C157)</f>
        <v>9949</v>
      </c>
      <c r="D158" s="15"/>
      <c r="E158" s="15">
        <f>SUM(E145:E157)</f>
        <v>33227</v>
      </c>
      <c r="F158" s="15">
        <f>SUM(F145:F157)</f>
        <v>1033916</v>
      </c>
      <c r="G158" s="15">
        <f>SUM(G145:G157)</f>
        <v>633527</v>
      </c>
      <c r="H158" s="15"/>
      <c r="I158" s="42"/>
    </row>
    <row r="159" spans="1:9" ht="15">
      <c r="A159" s="47"/>
      <c r="B159" s="31"/>
      <c r="C159" s="48"/>
      <c r="D159" s="48"/>
      <c r="E159" s="48"/>
      <c r="F159" s="3"/>
      <c r="G159" s="48"/>
      <c r="H159" s="3"/>
      <c r="I159" s="42"/>
    </row>
    <row r="160" spans="1:9" ht="15">
      <c r="A160" s="60" t="s">
        <v>26</v>
      </c>
      <c r="B160" s="8"/>
      <c r="C160" s="8">
        <f>MWANGULU!D172*20</f>
        <v>3540</v>
      </c>
      <c r="D160" s="8"/>
      <c r="E160" s="8">
        <f>MWANGULU!H172</f>
        <v>4400</v>
      </c>
      <c r="F160" s="8">
        <f>MWANGULU!F172</f>
        <v>378560</v>
      </c>
      <c r="G160" s="8">
        <f>MWANGULU!G172</f>
        <v>371690</v>
      </c>
      <c r="H160" s="8"/>
      <c r="I160" s="61"/>
    </row>
    <row r="161" spans="1:9" ht="15">
      <c r="A161" s="63"/>
      <c r="B161" s="64"/>
      <c r="C161" s="64"/>
      <c r="D161" s="64"/>
      <c r="E161" s="64"/>
      <c r="F161" s="64"/>
      <c r="G161" s="64">
        <f>G158+G160</f>
        <v>1005217</v>
      </c>
      <c r="H161" s="64">
        <f>F158-G161</f>
        <v>28699</v>
      </c>
      <c r="I161" s="65"/>
    </row>
    <row r="162" spans="2:8" ht="15">
      <c r="B162" s="62" t="s">
        <v>52</v>
      </c>
      <c r="C162" s="53">
        <f>MWANGULU!C171</f>
        <v>3</v>
      </c>
      <c r="D162" s="12"/>
      <c r="E162" s="12"/>
      <c r="F162" s="12"/>
      <c r="G162" s="12"/>
      <c r="H162" s="20"/>
    </row>
    <row r="163" spans="2:8" ht="15">
      <c r="B163" s="12" t="s">
        <v>51</v>
      </c>
      <c r="C163" s="53">
        <f>C158-C160-C162</f>
        <v>6406</v>
      </c>
      <c r="D163" s="12"/>
      <c r="E163" s="12" t="s">
        <v>50</v>
      </c>
      <c r="F163" s="53">
        <f>C163*D157</f>
        <v>666224</v>
      </c>
      <c r="G163" s="12"/>
      <c r="H163" s="20"/>
    </row>
    <row r="164" spans="3:9" ht="15">
      <c r="C164" s="12"/>
      <c r="D164" s="12"/>
      <c r="E164" s="12" t="s">
        <v>53</v>
      </c>
      <c r="F164" s="53">
        <f>F163-E158-G158</f>
        <v>-530</v>
      </c>
      <c r="G164" s="53">
        <f>F160-E160-G160</f>
        <v>2470</v>
      </c>
      <c r="H164" s="20"/>
      <c r="I164" s="55">
        <f>G161-G146</f>
        <v>999997</v>
      </c>
    </row>
    <row r="165" spans="1:2" ht="15">
      <c r="A165" s="66" t="s">
        <v>60</v>
      </c>
      <c r="B165" s="66">
        <v>329218</v>
      </c>
    </row>
    <row r="167" spans="3:9" ht="21">
      <c r="C167" s="4"/>
      <c r="D167" s="4"/>
      <c r="E167" s="4"/>
      <c r="F167" s="67" t="s">
        <v>63</v>
      </c>
      <c r="G167" s="57"/>
      <c r="H167" s="57"/>
      <c r="I167"/>
    </row>
    <row r="169" spans="1:9" ht="15">
      <c r="A169" s="44" t="s">
        <v>0</v>
      </c>
      <c r="B169" s="45" t="s">
        <v>2</v>
      </c>
      <c r="C169" s="45" t="s">
        <v>1</v>
      </c>
      <c r="D169" s="45" t="s">
        <v>5</v>
      </c>
      <c r="E169" s="45" t="s">
        <v>6</v>
      </c>
      <c r="F169" s="45" t="s">
        <v>4</v>
      </c>
      <c r="G169" s="45" t="s">
        <v>3</v>
      </c>
      <c r="H169" s="45" t="s">
        <v>9</v>
      </c>
      <c r="I169" s="46" t="s">
        <v>8</v>
      </c>
    </row>
    <row r="170" spans="1:9" ht="15">
      <c r="A170" s="56"/>
      <c r="B170" s="28">
        <v>10000</v>
      </c>
      <c r="C170" s="28"/>
      <c r="D170" s="28"/>
      <c r="E170" s="50"/>
      <c r="F170" s="50">
        <f>'MAIN DEPOT'!$D170*'MAIN DEPOT'!$B170</f>
        <v>0</v>
      </c>
      <c r="G170" s="50"/>
      <c r="H170" s="50">
        <f>'MAIN DEPOT'!$F170-'MAIN DEPOT'!$E170</f>
        <v>0</v>
      </c>
      <c r="I170" s="51">
        <f>'MAIN DEPOT'!$H170-'MAIN DEPOT'!$G170</f>
        <v>0</v>
      </c>
    </row>
    <row r="171" spans="1:9" ht="15">
      <c r="A171" s="39">
        <v>43238</v>
      </c>
      <c r="B171" s="3">
        <v>10000</v>
      </c>
      <c r="C171" s="3">
        <v>1263</v>
      </c>
      <c r="D171" s="68">
        <v>104.5</v>
      </c>
      <c r="E171" s="31">
        <f>1500+400</f>
        <v>1900</v>
      </c>
      <c r="F171" s="3">
        <f>'MAIN DEPOT'!$C171*'MAIN DEPOT'!$D171</f>
        <v>131983.5</v>
      </c>
      <c r="G171" s="8">
        <v>58806</v>
      </c>
      <c r="H171" s="3">
        <f>'MAIN DEPOT'!$G171</f>
        <v>58806</v>
      </c>
      <c r="I171" s="42">
        <f>'MAIN DEPOT'!$F171-'MAIN DEPOT'!$E171-'MAIN DEPOT'!$G171</f>
        <v>71277.5</v>
      </c>
    </row>
    <row r="172" spans="1:9" ht="15">
      <c r="A172" s="39">
        <v>43239</v>
      </c>
      <c r="B172" s="3">
        <f>B171-C171</f>
        <v>8737</v>
      </c>
      <c r="C172" s="25">
        <v>508</v>
      </c>
      <c r="D172" s="68">
        <v>104.5</v>
      </c>
      <c r="E172" s="30">
        <v>0</v>
      </c>
      <c r="F172" s="3">
        <f>'MAIN DEPOT'!$C172*'MAIN DEPOT'!$D172</f>
        <v>53086</v>
      </c>
      <c r="G172" s="26">
        <f>600+70000+827+4000+200</f>
        <v>75627</v>
      </c>
      <c r="H172" s="3">
        <f>H171+'MAIN DEPOT'!$G172</f>
        <v>134433</v>
      </c>
      <c r="I172" s="42">
        <f>I171+'MAIN DEPOT'!$F172-'MAIN DEPOT'!$E172-'MAIN DEPOT'!$G172</f>
        <v>48736.5</v>
      </c>
    </row>
    <row r="173" spans="1:9" ht="15">
      <c r="A173" s="39">
        <v>43240</v>
      </c>
      <c r="B173" s="31">
        <f>B172-C172</f>
        <v>8229</v>
      </c>
      <c r="C173" s="3">
        <v>1130</v>
      </c>
      <c r="D173" s="68">
        <v>104.5</v>
      </c>
      <c r="E173" s="3">
        <f>1500+100+500+300</f>
        <v>2400</v>
      </c>
      <c r="F173" s="3">
        <f>'MAIN DEPOT'!$C173*'MAIN DEPOT'!$D173</f>
        <v>118085</v>
      </c>
      <c r="G173" s="3">
        <f>100+33950</f>
        <v>34050</v>
      </c>
      <c r="H173" s="3">
        <f>H172+'MAIN DEPOT'!$G173</f>
        <v>168483</v>
      </c>
      <c r="I173" s="42">
        <f>I172+'MAIN DEPOT'!$F173-'MAIN DEPOT'!$E173-'MAIN DEPOT'!$G173</f>
        <v>130371.5</v>
      </c>
    </row>
    <row r="174" spans="1:9" ht="15">
      <c r="A174" s="39">
        <v>43241</v>
      </c>
      <c r="B174" s="31">
        <f>B173-C173</f>
        <v>7099</v>
      </c>
      <c r="C174" s="3">
        <v>846</v>
      </c>
      <c r="D174" s="68">
        <v>104.5</v>
      </c>
      <c r="E174" s="3">
        <f>200+100+950</f>
        <v>1250</v>
      </c>
      <c r="F174" s="3">
        <f>'MAIN DEPOT'!$C174*'MAIN DEPOT'!$D174</f>
        <v>88407</v>
      </c>
      <c r="G174" s="3">
        <f>34000+8200</f>
        <v>42200</v>
      </c>
      <c r="H174" s="3">
        <f>H173+'MAIN DEPOT'!$G174</f>
        <v>210683</v>
      </c>
      <c r="I174" s="42">
        <f>I173+'MAIN DEPOT'!$F174-'MAIN DEPOT'!$E174-'MAIN DEPOT'!$G174</f>
        <v>175328.5</v>
      </c>
    </row>
    <row r="175" spans="1:9" ht="15">
      <c r="A175" s="39">
        <v>43242</v>
      </c>
      <c r="B175" s="31">
        <f aca="true" t="shared" si="10" ref="B175:B185">B174-C174</f>
        <v>6253</v>
      </c>
      <c r="C175" s="3">
        <v>649</v>
      </c>
      <c r="D175" s="68">
        <v>104.5</v>
      </c>
      <c r="E175" s="3">
        <v>250</v>
      </c>
      <c r="F175" s="3">
        <f>'MAIN DEPOT'!$C175*'MAIN DEPOT'!$D175</f>
        <v>67820.5</v>
      </c>
      <c r="G175" s="3">
        <f>8100+8200</f>
        <v>16300</v>
      </c>
      <c r="H175" s="3">
        <f>H174+'MAIN DEPOT'!$G175</f>
        <v>226983</v>
      </c>
      <c r="I175" s="42">
        <f>I174+'MAIN DEPOT'!$F175-'MAIN DEPOT'!$E175-'MAIN DEPOT'!$G175</f>
        <v>226599</v>
      </c>
    </row>
    <row r="176" spans="1:9" ht="15">
      <c r="A176" s="39">
        <v>43243</v>
      </c>
      <c r="B176" s="31">
        <f t="shared" si="10"/>
        <v>5604</v>
      </c>
      <c r="C176" s="3">
        <v>1091</v>
      </c>
      <c r="D176" s="68">
        <v>104.5</v>
      </c>
      <c r="E176" s="3">
        <f>2000+1000+500+300</f>
        <v>3800</v>
      </c>
      <c r="F176" s="3">
        <f>'MAIN DEPOT'!$C176*'MAIN DEPOT'!$D176</f>
        <v>114009.5</v>
      </c>
      <c r="G176" s="3">
        <f>1000+700+70000+38000</f>
        <v>109700</v>
      </c>
      <c r="H176" s="3">
        <f>H175+'MAIN DEPOT'!$G176</f>
        <v>336683</v>
      </c>
      <c r="I176" s="42">
        <f>I175+'MAIN DEPOT'!$F176-'MAIN DEPOT'!$E176-'MAIN DEPOT'!$G176</f>
        <v>227108.5</v>
      </c>
    </row>
    <row r="177" spans="1:9" ht="15">
      <c r="A177" s="39">
        <v>43244</v>
      </c>
      <c r="B177" s="31">
        <f t="shared" si="10"/>
        <v>4513</v>
      </c>
      <c r="C177" s="3">
        <v>944</v>
      </c>
      <c r="D177" s="68">
        <v>104.5</v>
      </c>
      <c r="E177" s="3">
        <f>1050+1027+5000+5000</f>
        <v>12077</v>
      </c>
      <c r="F177" s="3">
        <f>'MAIN DEPOT'!$C177*'MAIN DEPOT'!$D177</f>
        <v>98648</v>
      </c>
      <c r="G177" s="3">
        <f>27448+400+100</f>
        <v>27948</v>
      </c>
      <c r="H177" s="3">
        <f>H176+'MAIN DEPOT'!$G177</f>
        <v>364631</v>
      </c>
      <c r="I177" s="42">
        <f>I176+'MAIN DEPOT'!$F177-'MAIN DEPOT'!$E177-'MAIN DEPOT'!$G177</f>
        <v>285731.5</v>
      </c>
    </row>
    <row r="178" spans="1:9" ht="15">
      <c r="A178" s="39">
        <v>43245</v>
      </c>
      <c r="B178" s="31">
        <f t="shared" si="10"/>
        <v>3569</v>
      </c>
      <c r="C178" s="3">
        <v>570</v>
      </c>
      <c r="D178" s="68">
        <v>104.5</v>
      </c>
      <c r="E178" s="3">
        <f>1027</f>
        <v>1027</v>
      </c>
      <c r="F178" s="3">
        <f>'MAIN DEPOT'!$C178*'MAIN DEPOT'!$D178</f>
        <v>59565</v>
      </c>
      <c r="G178" s="3">
        <f>16000+6000</f>
        <v>22000</v>
      </c>
      <c r="H178" s="3">
        <f>H177+'MAIN DEPOT'!$G178</f>
        <v>386631</v>
      </c>
      <c r="I178" s="42">
        <f>I177+'MAIN DEPOT'!$F178-'MAIN DEPOT'!$E178-'MAIN DEPOT'!$G178</f>
        <v>322269.5</v>
      </c>
    </row>
    <row r="179" spans="1:9" ht="15">
      <c r="A179" s="39">
        <v>43246</v>
      </c>
      <c r="B179" s="31">
        <f t="shared" si="10"/>
        <v>2999</v>
      </c>
      <c r="C179" s="3">
        <v>571</v>
      </c>
      <c r="D179" s="68">
        <v>104.5</v>
      </c>
      <c r="E179" s="3">
        <v>300</v>
      </c>
      <c r="F179" s="3">
        <f>'MAIN DEPOT'!$C179*'MAIN DEPOT'!$D179</f>
        <v>59669.5</v>
      </c>
      <c r="G179" s="3">
        <f>70000+100+13671</f>
        <v>83771</v>
      </c>
      <c r="H179" s="3">
        <f>H178+'MAIN DEPOT'!$G179</f>
        <v>470402</v>
      </c>
      <c r="I179" s="42">
        <f>I178+'MAIN DEPOT'!$F179-'MAIN DEPOT'!$E179-'MAIN DEPOT'!$G179</f>
        <v>297868</v>
      </c>
    </row>
    <row r="180" spans="1:9" ht="15">
      <c r="A180" s="39">
        <v>43247</v>
      </c>
      <c r="B180" s="31">
        <f t="shared" si="10"/>
        <v>2428</v>
      </c>
      <c r="C180" s="3">
        <v>788</v>
      </c>
      <c r="D180" s="68">
        <v>104.5</v>
      </c>
      <c r="E180" s="3">
        <v>4750</v>
      </c>
      <c r="F180" s="3">
        <f>'MAIN DEPOT'!$C180*'MAIN DEPOT'!$D180</f>
        <v>82346</v>
      </c>
      <c r="G180" s="3">
        <f>70000</f>
        <v>70000</v>
      </c>
      <c r="H180" s="3">
        <f>H179+'MAIN DEPOT'!$G180</f>
        <v>540402</v>
      </c>
      <c r="I180" s="42">
        <f>I179+'MAIN DEPOT'!$F180-'MAIN DEPOT'!$E180-'MAIN DEPOT'!$G180</f>
        <v>305464</v>
      </c>
    </row>
    <row r="181" spans="1:9" ht="15">
      <c r="A181" s="39">
        <v>43248</v>
      </c>
      <c r="B181" s="31">
        <f t="shared" si="10"/>
        <v>1640</v>
      </c>
      <c r="C181" s="3">
        <v>1002</v>
      </c>
      <c r="D181" s="68">
        <v>104.5</v>
      </c>
      <c r="E181" s="3">
        <f>600+100+100+300+750+1000</f>
        <v>2850</v>
      </c>
      <c r="F181" s="3">
        <f>'MAIN DEPOT'!$C181*'MAIN DEPOT'!$D181</f>
        <v>104709</v>
      </c>
      <c r="G181" s="3">
        <v>27015</v>
      </c>
      <c r="H181" s="3">
        <f>H180+'MAIN DEPOT'!$G181</f>
        <v>567417</v>
      </c>
      <c r="I181" s="42">
        <f>I180+'MAIN DEPOT'!$F181-'MAIN DEPOT'!$E181-'MAIN DEPOT'!$G181</f>
        <v>380308</v>
      </c>
    </row>
    <row r="182" spans="1:9" ht="15">
      <c r="A182" s="39">
        <v>43249</v>
      </c>
      <c r="B182" s="31">
        <f t="shared" si="10"/>
        <v>638</v>
      </c>
      <c r="C182" s="3">
        <v>635</v>
      </c>
      <c r="D182" s="68">
        <v>104.5</v>
      </c>
      <c r="E182" s="3">
        <f>840+300+200</f>
        <v>1340</v>
      </c>
      <c r="F182" s="3">
        <f>'MAIN DEPOT'!$C182*'MAIN DEPOT'!$D182</f>
        <v>66357.5</v>
      </c>
      <c r="G182" s="3">
        <f>500+62450+20000</f>
        <v>82950</v>
      </c>
      <c r="H182" s="3">
        <f>H181+'MAIN DEPOT'!$G182</f>
        <v>650367</v>
      </c>
      <c r="I182" s="42">
        <f>I181+'MAIN DEPOT'!$F182-'MAIN DEPOT'!$E182-'MAIN DEPOT'!$G182</f>
        <v>362375.5</v>
      </c>
    </row>
    <row r="183" spans="1:9" ht="15">
      <c r="A183" s="39">
        <v>43250</v>
      </c>
      <c r="B183" s="31">
        <f t="shared" si="10"/>
        <v>3</v>
      </c>
      <c r="C183" s="3"/>
      <c r="D183" s="68">
        <v>104.5</v>
      </c>
      <c r="E183" s="3">
        <v>300</v>
      </c>
      <c r="F183" s="3"/>
      <c r="G183" s="3">
        <v>30000</v>
      </c>
      <c r="H183" s="3">
        <f>H182+'MAIN DEPOT'!$G183</f>
        <v>680367</v>
      </c>
      <c r="I183" s="42">
        <f>I182+'MAIN DEPOT'!$F183-'MAIN DEPOT'!$E183-'MAIN DEPOT'!$G183</f>
        <v>332075.5</v>
      </c>
    </row>
    <row r="184" spans="1:9" ht="15">
      <c r="A184" s="39">
        <v>43251</v>
      </c>
      <c r="B184" s="31">
        <f t="shared" si="10"/>
        <v>3</v>
      </c>
      <c r="C184" s="3"/>
      <c r="D184" s="68">
        <v>104.5</v>
      </c>
      <c r="E184" s="3"/>
      <c r="F184" s="3">
        <f>'MAIN DEPOT'!$C184*'MAIN DEPOT'!$D184</f>
        <v>0</v>
      </c>
      <c r="G184" s="3"/>
      <c r="H184" s="3">
        <f>H183+'MAIN DEPOT'!$G184</f>
        <v>680367</v>
      </c>
      <c r="I184" s="42">
        <f>I183+'MAIN DEPOT'!$F184-'MAIN DEPOT'!$E184-'MAIN DEPOT'!$G184</f>
        <v>332075.5</v>
      </c>
    </row>
    <row r="185" spans="1:9" ht="15">
      <c r="A185" s="39">
        <v>43252</v>
      </c>
      <c r="B185" s="31">
        <f t="shared" si="10"/>
        <v>3</v>
      </c>
      <c r="C185" s="3"/>
      <c r="D185" s="68">
        <v>104.5</v>
      </c>
      <c r="E185" s="3"/>
      <c r="F185" s="3">
        <f>'MAIN DEPOT'!$C185*'MAIN DEPOT'!$D185</f>
        <v>0</v>
      </c>
      <c r="G185" s="3"/>
      <c r="H185" s="3">
        <f>H184+'MAIN DEPOT'!$G185</f>
        <v>680367</v>
      </c>
      <c r="I185" s="42">
        <f>I184+'MAIN DEPOT'!$F185-'MAIN DEPOT'!$E185-'MAIN DEPOT'!$G185</f>
        <v>332075.5</v>
      </c>
    </row>
    <row r="186" spans="1:9" ht="15">
      <c r="A186" s="15"/>
      <c r="B186" s="15"/>
      <c r="C186" s="15">
        <f>SUM(C170:C185)</f>
        <v>9997</v>
      </c>
      <c r="D186" s="15"/>
      <c r="E186" s="15">
        <f>SUM(E171:E184)</f>
        <v>32244</v>
      </c>
      <c r="F186" s="15">
        <f>SUM(F171:F184)</f>
        <v>1044686.5</v>
      </c>
      <c r="G186" s="15">
        <f>SUM(G171:G184)</f>
        <v>680367</v>
      </c>
      <c r="H186" s="15"/>
      <c r="I186" s="42"/>
    </row>
    <row r="187" spans="1:9" ht="15">
      <c r="A187" s="39"/>
      <c r="B187" s="31"/>
      <c r="C187" s="48"/>
      <c r="D187" s="68"/>
      <c r="E187" s="48"/>
      <c r="F187" s="3"/>
      <c r="G187" s="48"/>
      <c r="H187" s="3"/>
      <c r="I187" s="42"/>
    </row>
    <row r="188" spans="1:9" ht="15">
      <c r="A188" s="60" t="s">
        <v>26</v>
      </c>
      <c r="B188" s="8"/>
      <c r="C188" s="8">
        <f>MWANGULU!D193*20</f>
        <v>2900</v>
      </c>
      <c r="D188" s="68"/>
      <c r="E188" s="8">
        <f>MWANGULU!H193</f>
        <v>300</v>
      </c>
      <c r="F188" s="8">
        <f>MWANGULU!F193</f>
        <v>304500</v>
      </c>
      <c r="G188" s="8">
        <f>MWANGULU!G193</f>
        <v>302850</v>
      </c>
      <c r="H188" s="8"/>
      <c r="I188" s="61"/>
    </row>
    <row r="189" spans="1:9" ht="15">
      <c r="A189" s="63"/>
      <c r="B189" s="64"/>
      <c r="C189" s="64"/>
      <c r="D189" s="64"/>
      <c r="E189" s="64"/>
      <c r="F189" s="64"/>
      <c r="G189" s="64">
        <f>G186+G188</f>
        <v>983217</v>
      </c>
      <c r="H189" s="64">
        <f>F186-G189</f>
        <v>61469.5</v>
      </c>
      <c r="I189" s="65"/>
    </row>
    <row r="190" spans="2:8" ht="15">
      <c r="B190" s="62" t="s">
        <v>52</v>
      </c>
      <c r="C190" s="53">
        <f>MWANGULU!C192*20</f>
        <v>280</v>
      </c>
      <c r="D190" s="12"/>
      <c r="E190" s="12"/>
      <c r="F190" s="12"/>
      <c r="G190" s="12"/>
      <c r="H190" s="20"/>
    </row>
    <row r="191" spans="2:8" ht="15">
      <c r="B191" s="12" t="s">
        <v>51</v>
      </c>
      <c r="C191" s="53">
        <f>C186-C188-C190</f>
        <v>6817</v>
      </c>
      <c r="D191" s="12"/>
      <c r="E191" s="12" t="s">
        <v>50</v>
      </c>
      <c r="F191" s="53">
        <f>C191*D185</f>
        <v>712376.5</v>
      </c>
      <c r="G191" s="12"/>
      <c r="H191" s="20"/>
    </row>
    <row r="192" spans="3:9" ht="15">
      <c r="C192" s="12"/>
      <c r="D192" s="12"/>
      <c r="E192" s="12" t="s">
        <v>53</v>
      </c>
      <c r="F192" s="53">
        <f>F191-E186-G186</f>
        <v>-234.5</v>
      </c>
      <c r="G192" s="53">
        <f>F188-E188-G188</f>
        <v>1350</v>
      </c>
      <c r="H192" s="20"/>
      <c r="I192" s="55">
        <f>G189-G172</f>
        <v>907590</v>
      </c>
    </row>
    <row r="195" spans="3:9" ht="21">
      <c r="C195" s="4"/>
      <c r="D195" s="4"/>
      <c r="E195" s="4"/>
      <c r="F195" s="67" t="s">
        <v>64</v>
      </c>
      <c r="G195" s="57"/>
      <c r="H195" s="57"/>
      <c r="I195"/>
    </row>
    <row r="197" spans="1:9" ht="15">
      <c r="A197" s="44" t="s">
        <v>0</v>
      </c>
      <c r="B197" s="45" t="s">
        <v>2</v>
      </c>
      <c r="C197" s="45" t="s">
        <v>1</v>
      </c>
      <c r="D197" s="45" t="s">
        <v>5</v>
      </c>
      <c r="E197" s="45" t="s">
        <v>6</v>
      </c>
      <c r="F197" s="45" t="s">
        <v>4</v>
      </c>
      <c r="G197" s="45" t="s">
        <v>3</v>
      </c>
      <c r="H197" s="45" t="s">
        <v>9</v>
      </c>
      <c r="I197" s="46" t="s">
        <v>8</v>
      </c>
    </row>
    <row r="198" spans="1:9" ht="15">
      <c r="A198" s="56"/>
      <c r="B198" s="28">
        <v>10000</v>
      </c>
      <c r="C198" s="28"/>
      <c r="D198" s="28"/>
      <c r="E198" s="50"/>
      <c r="F198" s="50">
        <f>'MAIN DEPOT'!$D198*'MAIN DEPOT'!$B198</f>
        <v>0</v>
      </c>
      <c r="G198" s="50"/>
      <c r="H198" s="50">
        <f>'MAIN DEPOT'!$F198-'MAIN DEPOT'!$E198</f>
        <v>0</v>
      </c>
      <c r="I198" s="51">
        <f>'MAIN DEPOT'!$H198-'MAIN DEPOT'!$G198</f>
        <v>0</v>
      </c>
    </row>
    <row r="199" spans="1:9" ht="15">
      <c r="A199" s="39">
        <v>43250</v>
      </c>
      <c r="B199" s="3">
        <v>10000</v>
      </c>
      <c r="C199" s="3">
        <v>607</v>
      </c>
      <c r="D199" s="68">
        <v>104.5</v>
      </c>
      <c r="E199" s="31">
        <f>750+500</f>
        <v>1250</v>
      </c>
      <c r="F199" s="3">
        <f>'MAIN DEPOT'!$C199*'MAIN DEPOT'!$D199</f>
        <v>63431.5</v>
      </c>
      <c r="G199" s="8"/>
      <c r="H199" s="3">
        <f>'MAIN DEPOT'!$G199</f>
        <v>0</v>
      </c>
      <c r="I199" s="42">
        <f>'MAIN DEPOT'!$F199-'MAIN DEPOT'!$E199-'MAIN DEPOT'!$G199</f>
        <v>62181.5</v>
      </c>
    </row>
    <row r="200" spans="1:9" ht="15">
      <c r="A200" s="39">
        <v>43251</v>
      </c>
      <c r="B200" s="3">
        <f>B199-C199</f>
        <v>9393</v>
      </c>
      <c r="C200" s="25">
        <v>478</v>
      </c>
      <c r="D200" s="68">
        <v>104.5</v>
      </c>
      <c r="E200" s="30"/>
      <c r="F200" s="3">
        <f>'MAIN DEPOT'!$C200*'MAIN DEPOT'!$D200</f>
        <v>49951</v>
      </c>
      <c r="G200" s="26">
        <v>15245</v>
      </c>
      <c r="H200" s="3">
        <f>H199+'MAIN DEPOT'!$G200</f>
        <v>15245</v>
      </c>
      <c r="I200" s="42">
        <f>I199+'MAIN DEPOT'!$F200-'MAIN DEPOT'!$E200-'MAIN DEPOT'!$G200</f>
        <v>96887.5</v>
      </c>
    </row>
    <row r="201" spans="1:9" ht="15">
      <c r="A201" s="39">
        <v>43252</v>
      </c>
      <c r="B201" s="31">
        <f>B200-C200</f>
        <v>8915</v>
      </c>
      <c r="C201" s="3">
        <v>1296</v>
      </c>
      <c r="D201" s="68">
        <v>104.5</v>
      </c>
      <c r="E201" s="3">
        <f>1500+300</f>
        <v>1800</v>
      </c>
      <c r="F201" s="3">
        <f>'MAIN DEPOT'!$C201*'MAIN DEPOT'!$D201</f>
        <v>135432</v>
      </c>
      <c r="G201" s="3">
        <f>1000+70000</f>
        <v>71000</v>
      </c>
      <c r="H201" s="3">
        <f>H200+'MAIN DEPOT'!$G201</f>
        <v>86245</v>
      </c>
      <c r="I201" s="42">
        <f>I200+'MAIN DEPOT'!$F201-'MAIN DEPOT'!$E201-'MAIN DEPOT'!$G201</f>
        <v>159519.5</v>
      </c>
    </row>
    <row r="202" spans="1:9" ht="15">
      <c r="A202" s="39">
        <v>43253</v>
      </c>
      <c r="B202" s="31">
        <f>B201-C201</f>
        <v>7619</v>
      </c>
      <c r="C202" s="3">
        <v>774</v>
      </c>
      <c r="D202" s="68">
        <v>104.5</v>
      </c>
      <c r="E202" s="3">
        <f>1500+2027+500+750+300</f>
        <v>5077</v>
      </c>
      <c r="F202" s="3">
        <f>'MAIN DEPOT'!$C202*'MAIN DEPOT'!$D202</f>
        <v>80883</v>
      </c>
      <c r="G202" s="3">
        <f>17645+500</f>
        <v>18145</v>
      </c>
      <c r="H202" s="3">
        <f>H201+'MAIN DEPOT'!$G202</f>
        <v>104390</v>
      </c>
      <c r="I202" s="42">
        <f>I201+'MAIN DEPOT'!$F202-'MAIN DEPOT'!$E202-'MAIN DEPOT'!$G202</f>
        <v>217180.5</v>
      </c>
    </row>
    <row r="203" spans="1:9" ht="15">
      <c r="A203" s="39">
        <v>43254</v>
      </c>
      <c r="B203" s="31">
        <f aca="true" t="shared" si="11" ref="B203:B211">B202-C202</f>
        <v>6845</v>
      </c>
      <c r="C203" s="3">
        <v>1119</v>
      </c>
      <c r="D203" s="68">
        <v>104.5</v>
      </c>
      <c r="E203" s="3">
        <f>1500</f>
        <v>1500</v>
      </c>
      <c r="F203" s="3">
        <f>'MAIN DEPOT'!$C203*'MAIN DEPOT'!$D203</f>
        <v>116935.5</v>
      </c>
      <c r="G203" s="3">
        <v>28000</v>
      </c>
      <c r="H203" s="3">
        <f>H202+'MAIN DEPOT'!$G203</f>
        <v>132390</v>
      </c>
      <c r="I203" s="42">
        <f>I202+'MAIN DEPOT'!$F203-'MAIN DEPOT'!$E203-'MAIN DEPOT'!$G203</f>
        <v>304616</v>
      </c>
    </row>
    <row r="204" spans="1:9" ht="15">
      <c r="A204" s="39">
        <v>43255</v>
      </c>
      <c r="B204" s="31">
        <f t="shared" si="11"/>
        <v>5726</v>
      </c>
      <c r="C204" s="3">
        <v>618</v>
      </c>
      <c r="D204" s="68">
        <v>104.5</v>
      </c>
      <c r="E204" s="3">
        <f>250+250+4000</f>
        <v>4500</v>
      </c>
      <c r="F204" s="3">
        <f>'MAIN DEPOT'!$C204*'MAIN DEPOT'!$D204</f>
        <v>64581</v>
      </c>
      <c r="G204" s="3"/>
      <c r="H204" s="3">
        <f>H203+'MAIN DEPOT'!$G204</f>
        <v>132390</v>
      </c>
      <c r="I204" s="42">
        <f>I203+'MAIN DEPOT'!$F204-'MAIN DEPOT'!$E204-'MAIN DEPOT'!$G204</f>
        <v>364697</v>
      </c>
    </row>
    <row r="205" spans="1:9" ht="15">
      <c r="A205" s="39">
        <v>43256</v>
      </c>
      <c r="B205" s="31">
        <f t="shared" si="11"/>
        <v>5108</v>
      </c>
      <c r="C205" s="3">
        <v>530</v>
      </c>
      <c r="D205" s="68">
        <v>104.5</v>
      </c>
      <c r="E205" s="3">
        <f>1000+500+5500+3000+15000</f>
        <v>25000</v>
      </c>
      <c r="F205" s="3">
        <f>'MAIN DEPOT'!$C205*'MAIN DEPOT'!$D205</f>
        <v>55385</v>
      </c>
      <c r="G205" s="3">
        <f>70000+1000</f>
        <v>71000</v>
      </c>
      <c r="H205" s="3">
        <f>H204+'MAIN DEPOT'!$G205</f>
        <v>203390</v>
      </c>
      <c r="I205" s="42">
        <f>I204+'MAIN DEPOT'!$F205-'MAIN DEPOT'!$E205-'MAIN DEPOT'!$G205</f>
        <v>324082</v>
      </c>
    </row>
    <row r="206" spans="1:9" ht="15">
      <c r="A206" s="39">
        <v>43257</v>
      </c>
      <c r="B206" s="31">
        <f t="shared" si="11"/>
        <v>4578</v>
      </c>
      <c r="C206" s="3">
        <v>1323</v>
      </c>
      <c r="D206" s="68">
        <v>104.5</v>
      </c>
      <c r="E206" s="3">
        <f>1000+500+300</f>
        <v>1800</v>
      </c>
      <c r="F206" s="3">
        <f>'MAIN DEPOT'!$C206*'MAIN DEPOT'!$D206</f>
        <v>138253.5</v>
      </c>
      <c r="G206" s="3">
        <f>500+70000+200+1000</f>
        <v>71700</v>
      </c>
      <c r="H206" s="3">
        <f>H205+'MAIN DEPOT'!$G206</f>
        <v>275090</v>
      </c>
      <c r="I206" s="42">
        <f>I205+'MAIN DEPOT'!$F206-'MAIN DEPOT'!$E206-'MAIN DEPOT'!$G206</f>
        <v>388835.5</v>
      </c>
    </row>
    <row r="207" spans="1:9" ht="15">
      <c r="A207" s="39">
        <v>43258</v>
      </c>
      <c r="B207" s="31">
        <f t="shared" si="11"/>
        <v>3255</v>
      </c>
      <c r="C207" s="3">
        <v>1153</v>
      </c>
      <c r="D207" s="68">
        <v>104.5</v>
      </c>
      <c r="E207" s="3">
        <f>1550+300</f>
        <v>1850</v>
      </c>
      <c r="F207" s="3">
        <f>'MAIN DEPOT'!$C207*'MAIN DEPOT'!$D207</f>
        <v>120488.5</v>
      </c>
      <c r="G207" s="3">
        <f>70000+300</f>
        <v>70300</v>
      </c>
      <c r="H207" s="3">
        <f>H206+'MAIN DEPOT'!$G207</f>
        <v>345390</v>
      </c>
      <c r="I207" s="42">
        <f>I206+'MAIN DEPOT'!$F207-'MAIN DEPOT'!$E207-'MAIN DEPOT'!$G207</f>
        <v>437174</v>
      </c>
    </row>
    <row r="208" spans="1:9" ht="15">
      <c r="A208" s="39">
        <v>43259</v>
      </c>
      <c r="B208" s="31">
        <f t="shared" si="11"/>
        <v>2102</v>
      </c>
      <c r="C208" s="3">
        <v>694</v>
      </c>
      <c r="D208" s="68">
        <v>104.5</v>
      </c>
      <c r="E208" s="3">
        <v>300</v>
      </c>
      <c r="F208" s="3">
        <f>'MAIN DEPOT'!$C208*'MAIN DEPOT'!$D208</f>
        <v>72523</v>
      </c>
      <c r="G208" s="3">
        <f>70000+26626</f>
        <v>96626</v>
      </c>
      <c r="H208" s="3">
        <f>H207+'MAIN DEPOT'!$G208</f>
        <v>442016</v>
      </c>
      <c r="I208" s="42">
        <f>I207+'MAIN DEPOT'!$F208-'MAIN DEPOT'!$E208-'MAIN DEPOT'!$G208</f>
        <v>412771</v>
      </c>
    </row>
    <row r="209" spans="1:9" ht="15">
      <c r="A209" s="39">
        <v>43260</v>
      </c>
      <c r="B209" s="31">
        <f t="shared" si="11"/>
        <v>1408</v>
      </c>
      <c r="C209" s="3">
        <v>656</v>
      </c>
      <c r="D209" s="68">
        <v>104.5</v>
      </c>
      <c r="E209" s="3">
        <v>100</v>
      </c>
      <c r="F209" s="3">
        <f>'MAIN DEPOT'!$C209*'MAIN DEPOT'!$D209</f>
        <v>68552</v>
      </c>
      <c r="G209" s="3">
        <f>8000+600+70000</f>
        <v>78600</v>
      </c>
      <c r="H209" s="3">
        <f>H208+'MAIN DEPOT'!$G209</f>
        <v>520616</v>
      </c>
      <c r="I209" s="42">
        <f>I208+'MAIN DEPOT'!$F209-'MAIN DEPOT'!$E209-'MAIN DEPOT'!$G209</f>
        <v>402623</v>
      </c>
    </row>
    <row r="210" spans="1:9" ht="15">
      <c r="A210" s="39">
        <v>43261</v>
      </c>
      <c r="B210" s="31">
        <f t="shared" si="11"/>
        <v>752</v>
      </c>
      <c r="C210" s="3">
        <v>811</v>
      </c>
      <c r="D210" s="68">
        <v>104.5</v>
      </c>
      <c r="E210" s="3"/>
      <c r="F210" s="3">
        <f>'MAIN DEPOT'!$C210*'MAIN DEPOT'!$D210</f>
        <v>84749.5</v>
      </c>
      <c r="G210" s="3">
        <f>46000+1000+1000+350+240+70000</f>
        <v>118590</v>
      </c>
      <c r="H210" s="3">
        <f>H209+'MAIN DEPOT'!$G210</f>
        <v>639206</v>
      </c>
      <c r="I210" s="42">
        <f>I209+'MAIN DEPOT'!$F210-'MAIN DEPOT'!$E210-'MAIN DEPOT'!$G210</f>
        <v>368782.5</v>
      </c>
    </row>
    <row r="211" spans="1:9" ht="15">
      <c r="A211" s="39">
        <v>43262</v>
      </c>
      <c r="B211" s="31">
        <f t="shared" si="11"/>
        <v>-59</v>
      </c>
      <c r="C211" s="3">
        <v>21</v>
      </c>
      <c r="D211" s="68">
        <v>104.5</v>
      </c>
      <c r="E211" s="3"/>
      <c r="F211" s="3">
        <f>'MAIN DEPOT'!$C211*'MAIN DEPOT'!$D211</f>
        <v>2194.5</v>
      </c>
      <c r="G211" s="3">
        <f>7513+30000+4200</f>
        <v>41713</v>
      </c>
      <c r="H211" s="3">
        <f>H210+'MAIN DEPOT'!$G211</f>
        <v>680919</v>
      </c>
      <c r="I211" s="42">
        <f>I210+'MAIN DEPOT'!$F211-'MAIN DEPOT'!$E211-'MAIN DEPOT'!$G211</f>
        <v>329264</v>
      </c>
    </row>
    <row r="212" spans="1:9" ht="15">
      <c r="A212" s="15"/>
      <c r="B212" s="15"/>
      <c r="C212" s="15">
        <f>SUM(C198:C211)</f>
        <v>10080</v>
      </c>
      <c r="D212" s="15"/>
      <c r="E212" s="15">
        <f>SUM(E199:E211)</f>
        <v>43177</v>
      </c>
      <c r="F212" s="15">
        <f>SUM(F199:F211)</f>
        <v>1053360</v>
      </c>
      <c r="G212" s="15">
        <f>SUM(G199:G211)</f>
        <v>680919</v>
      </c>
      <c r="H212" s="15"/>
      <c r="I212" s="42"/>
    </row>
    <row r="213" spans="1:9" ht="15">
      <c r="A213" s="39"/>
      <c r="B213" s="31"/>
      <c r="C213" s="48"/>
      <c r="D213" s="68"/>
      <c r="E213" s="48"/>
      <c r="F213" s="3"/>
      <c r="G213" s="48"/>
      <c r="H213" s="3"/>
      <c r="I213" s="42"/>
    </row>
    <row r="214" spans="1:9" ht="15">
      <c r="A214" s="60" t="s">
        <v>26</v>
      </c>
      <c r="B214" s="8"/>
      <c r="C214" s="8">
        <f>MWANGULU!D215*20</f>
        <v>3080</v>
      </c>
      <c r="D214" s="68"/>
      <c r="E214" s="8">
        <f>MWANGULU!H215</f>
        <v>10175</v>
      </c>
      <c r="F214" s="8">
        <f>MWANGULU!F215</f>
        <v>323400</v>
      </c>
      <c r="G214" s="8">
        <f>MWANGULU!G215</f>
        <v>311224</v>
      </c>
      <c r="H214" s="8"/>
      <c r="I214" s="61"/>
    </row>
    <row r="215" spans="1:9" ht="15">
      <c r="A215" s="63"/>
      <c r="B215" s="64"/>
      <c r="C215" s="64"/>
      <c r="D215" s="64"/>
      <c r="E215" s="64"/>
      <c r="F215" s="64"/>
      <c r="G215" s="64">
        <f>G212+G214</f>
        <v>992143</v>
      </c>
      <c r="H215" s="64">
        <f>F212-G215</f>
        <v>61217</v>
      </c>
      <c r="I215" s="65"/>
    </row>
    <row r="216" spans="2:8" ht="15">
      <c r="B216" s="62" t="s">
        <v>52</v>
      </c>
      <c r="C216" s="53">
        <f>MWANGULU!C214*20</f>
        <v>60</v>
      </c>
      <c r="D216" s="12"/>
      <c r="E216" s="12"/>
      <c r="F216" s="12"/>
      <c r="G216" s="12"/>
      <c r="H216" s="20"/>
    </row>
    <row r="217" spans="2:8" ht="15">
      <c r="B217" s="12" t="s">
        <v>51</v>
      </c>
      <c r="C217" s="53">
        <f>C212-C214-C216</f>
        <v>6940</v>
      </c>
      <c r="D217" s="12"/>
      <c r="E217" s="12" t="s">
        <v>50</v>
      </c>
      <c r="F217" s="53">
        <f>C217*D211</f>
        <v>725230</v>
      </c>
      <c r="G217" s="12"/>
      <c r="H217" s="20"/>
    </row>
    <row r="218" spans="3:9" ht="15">
      <c r="C218" s="12"/>
      <c r="D218" s="12"/>
      <c r="E218" s="12" t="s">
        <v>53</v>
      </c>
      <c r="F218" s="53">
        <f>F217-E212-G212</f>
        <v>1134</v>
      </c>
      <c r="G218" s="53">
        <f>F214-E214-G214</f>
        <v>2001</v>
      </c>
      <c r="H218" s="20"/>
      <c r="I218" s="55">
        <f>G215-G200</f>
        <v>976898</v>
      </c>
    </row>
    <row r="220" spans="3:9" ht="21">
      <c r="C220" s="4"/>
      <c r="D220" s="4"/>
      <c r="E220" s="4"/>
      <c r="F220" s="67" t="s">
        <v>67</v>
      </c>
      <c r="G220" s="57"/>
      <c r="H220" s="57"/>
      <c r="I220"/>
    </row>
    <row r="222" spans="1:9" ht="15">
      <c r="A222" s="44" t="s">
        <v>0</v>
      </c>
      <c r="B222" s="45" t="s">
        <v>2</v>
      </c>
      <c r="C222" s="45" t="s">
        <v>1</v>
      </c>
      <c r="D222" s="45" t="s">
        <v>5</v>
      </c>
      <c r="E222" s="45" t="s">
        <v>6</v>
      </c>
      <c r="F222" s="45" t="s">
        <v>4</v>
      </c>
      <c r="G222" s="45" t="s">
        <v>3</v>
      </c>
      <c r="H222" s="45" t="s">
        <v>9</v>
      </c>
      <c r="I222" s="46" t="s">
        <v>8</v>
      </c>
    </row>
    <row r="223" spans="1:9" ht="15">
      <c r="A223" s="56"/>
      <c r="B223" s="28">
        <v>10000</v>
      </c>
      <c r="C223" s="28"/>
      <c r="D223" s="28">
        <v>106.5</v>
      </c>
      <c r="E223" s="50"/>
      <c r="F223" s="50">
        <f>'MAIN DEPOT'!$D223*'MAIN DEPOT'!$B223</f>
        <v>1065000</v>
      </c>
      <c r="G223" s="50"/>
      <c r="H223" s="50">
        <f>'MAIN DEPOT'!$F223-'MAIN DEPOT'!$E223</f>
        <v>1065000</v>
      </c>
      <c r="I223" s="51">
        <f>'MAIN DEPOT'!$H223-'MAIN DEPOT'!$G223</f>
        <v>1065000</v>
      </c>
    </row>
    <row r="224" spans="1:9" ht="15">
      <c r="A224" s="39">
        <v>43263</v>
      </c>
      <c r="B224" s="3">
        <v>10000</v>
      </c>
      <c r="C224" s="3">
        <v>1395</v>
      </c>
      <c r="D224" s="68">
        <v>105</v>
      </c>
      <c r="E224" s="31">
        <f>2300</f>
        <v>2300</v>
      </c>
      <c r="F224" s="3">
        <f>'MAIN DEPOT'!$C224*'MAIN DEPOT'!$D224</f>
        <v>146475</v>
      </c>
      <c r="G224" s="31">
        <f>45000+2000</f>
        <v>47000</v>
      </c>
      <c r="H224" s="3">
        <f>'MAIN DEPOT'!$G224</f>
        <v>47000</v>
      </c>
      <c r="I224" s="42">
        <f>'MAIN DEPOT'!$F224-'MAIN DEPOT'!$E224-'MAIN DEPOT'!$G224</f>
        <v>97175</v>
      </c>
    </row>
    <row r="225" spans="1:9" ht="15">
      <c r="A225" s="39">
        <v>43264</v>
      </c>
      <c r="B225" s="3">
        <f aca="true" t="shared" si="12" ref="B225:B236">B224-C224</f>
        <v>8605</v>
      </c>
      <c r="C225" s="25">
        <v>389</v>
      </c>
      <c r="D225" s="68">
        <v>105</v>
      </c>
      <c r="E225" s="30"/>
      <c r="F225" s="3">
        <f>'MAIN DEPOT'!$C225*'MAIN DEPOT'!$D225</f>
        <v>40845</v>
      </c>
      <c r="G225" s="30">
        <f>14235+1000</f>
        <v>15235</v>
      </c>
      <c r="H225" s="3">
        <f>H224+'MAIN DEPOT'!$G225</f>
        <v>62235</v>
      </c>
      <c r="I225" s="42">
        <f>I224+'MAIN DEPOT'!$F225-'MAIN DEPOT'!$E225-'MAIN DEPOT'!$G225</f>
        <v>122785</v>
      </c>
    </row>
    <row r="226" spans="1:9" ht="15">
      <c r="A226" s="39">
        <v>43265</v>
      </c>
      <c r="B226" s="31">
        <f t="shared" si="12"/>
        <v>8216</v>
      </c>
      <c r="C226" s="3">
        <v>788</v>
      </c>
      <c r="D226" s="68">
        <v>105</v>
      </c>
      <c r="E226" s="3">
        <f>1000+500</f>
        <v>1500</v>
      </c>
      <c r="F226" s="3">
        <f>'MAIN DEPOT'!$C226*'MAIN DEPOT'!$D226</f>
        <v>82740</v>
      </c>
      <c r="G226" s="3">
        <f>1000+1020+600</f>
        <v>2620</v>
      </c>
      <c r="H226" s="3">
        <f>H225+'MAIN DEPOT'!$G226</f>
        <v>64855</v>
      </c>
      <c r="I226" s="42">
        <f>I225+'MAIN DEPOT'!$F226-'MAIN DEPOT'!$E226-'MAIN DEPOT'!$G226</f>
        <v>201405</v>
      </c>
    </row>
    <row r="227" spans="1:9" ht="15">
      <c r="A227" s="39">
        <v>43266</v>
      </c>
      <c r="B227" s="31">
        <f t="shared" si="12"/>
        <v>7428</v>
      </c>
      <c r="C227" s="3">
        <v>400</v>
      </c>
      <c r="D227" s="68">
        <v>105</v>
      </c>
      <c r="E227" s="3">
        <v>4060</v>
      </c>
      <c r="F227" s="3">
        <f>'MAIN DEPOT'!$C227*'MAIN DEPOT'!$D227</f>
        <v>42000</v>
      </c>
      <c r="G227" s="3">
        <f>37000+8400</f>
        <v>45400</v>
      </c>
      <c r="H227" s="3">
        <f>H226+'MAIN DEPOT'!$G227</f>
        <v>110255</v>
      </c>
      <c r="I227" s="42">
        <f>I226+'MAIN DEPOT'!$F227-'MAIN DEPOT'!$E227-'MAIN DEPOT'!$G227</f>
        <v>193945</v>
      </c>
    </row>
    <row r="228" spans="1:9" ht="15">
      <c r="A228" s="39">
        <v>43267</v>
      </c>
      <c r="B228" s="31">
        <f t="shared" si="12"/>
        <v>7028</v>
      </c>
      <c r="C228" s="3">
        <v>985</v>
      </c>
      <c r="D228" s="68">
        <v>105</v>
      </c>
      <c r="E228" s="3">
        <f>500+500+1000</f>
        <v>2000</v>
      </c>
      <c r="F228" s="3">
        <f>'MAIN DEPOT'!$C228*'MAIN DEPOT'!$D228</f>
        <v>103425</v>
      </c>
      <c r="G228" s="3">
        <f>35000</f>
        <v>35000</v>
      </c>
      <c r="H228" s="3">
        <f>H227+'MAIN DEPOT'!$G228</f>
        <v>145255</v>
      </c>
      <c r="I228" s="42">
        <f>I227+'MAIN DEPOT'!$F228-'MAIN DEPOT'!$E228-'MAIN DEPOT'!$G228</f>
        <v>260370</v>
      </c>
    </row>
    <row r="229" spans="1:9" ht="15">
      <c r="A229" s="39">
        <v>43268</v>
      </c>
      <c r="B229" s="31">
        <f t="shared" si="12"/>
        <v>6043</v>
      </c>
      <c r="C229" s="3">
        <v>1304</v>
      </c>
      <c r="D229" s="68">
        <v>106.5</v>
      </c>
      <c r="E229" s="3">
        <f>1600+300+750+12120</f>
        <v>14770</v>
      </c>
      <c r="F229" s="3">
        <f>'MAIN DEPOT'!$C229*'MAIN DEPOT'!$D229</f>
        <v>138876</v>
      </c>
      <c r="G229" s="3">
        <f>300+70000+350</f>
        <v>70650</v>
      </c>
      <c r="H229" s="3">
        <f>H228+'MAIN DEPOT'!$G229</f>
        <v>215905</v>
      </c>
      <c r="I229" s="42">
        <f>I228+'MAIN DEPOT'!$F229-'MAIN DEPOT'!$E229-'MAIN DEPOT'!$G229</f>
        <v>313826</v>
      </c>
    </row>
    <row r="230" spans="1:9" ht="15">
      <c r="A230" s="39">
        <v>43269</v>
      </c>
      <c r="B230" s="31">
        <f t="shared" si="12"/>
        <v>4739</v>
      </c>
      <c r="C230" s="3">
        <v>964</v>
      </c>
      <c r="D230" s="68">
        <v>106.5</v>
      </c>
      <c r="E230" s="3">
        <f>300+1500</f>
        <v>1800</v>
      </c>
      <c r="F230" s="3">
        <f>'MAIN DEPOT'!$C230*'MAIN DEPOT'!$D230</f>
        <v>102666</v>
      </c>
      <c r="G230" s="3">
        <f>70000+57000</f>
        <v>127000</v>
      </c>
      <c r="H230" s="3">
        <f>H229+'MAIN DEPOT'!$G230</f>
        <v>342905</v>
      </c>
      <c r="I230" s="42">
        <f>I229+'MAIN DEPOT'!$F230-'MAIN DEPOT'!$E230-'MAIN DEPOT'!$G230</f>
        <v>287692</v>
      </c>
    </row>
    <row r="231" spans="1:9" ht="15">
      <c r="A231" s="39">
        <v>43270</v>
      </c>
      <c r="B231" s="31">
        <f t="shared" si="12"/>
        <v>3775</v>
      </c>
      <c r="C231" s="3">
        <v>1084</v>
      </c>
      <c r="D231" s="68">
        <v>106.5</v>
      </c>
      <c r="E231" s="3">
        <v>15000</v>
      </c>
      <c r="F231" s="3">
        <f>'MAIN DEPOT'!$C231*'MAIN DEPOT'!$D231</f>
        <v>115446</v>
      </c>
      <c r="G231" s="3">
        <f>3000+3000</f>
        <v>6000</v>
      </c>
      <c r="H231" s="3">
        <f>H230+'MAIN DEPOT'!$G231</f>
        <v>348905</v>
      </c>
      <c r="I231" s="42">
        <f>I230+'MAIN DEPOT'!$F231-'MAIN DEPOT'!$E231-'MAIN DEPOT'!$G231</f>
        <v>382138</v>
      </c>
    </row>
    <row r="232" spans="1:9" ht="15">
      <c r="A232" s="39">
        <v>43271</v>
      </c>
      <c r="B232" s="31">
        <f t="shared" si="12"/>
        <v>2691</v>
      </c>
      <c r="C232" s="3">
        <v>1534</v>
      </c>
      <c r="D232" s="68">
        <v>106.5</v>
      </c>
      <c r="E232" s="3">
        <f>300+1000+900</f>
        <v>2200</v>
      </c>
      <c r="F232" s="3">
        <f>'MAIN DEPOT'!$C232*'MAIN DEPOT'!$D232</f>
        <v>163371</v>
      </c>
      <c r="G232" s="3">
        <f>70000+350+60000+43850</f>
        <v>174200</v>
      </c>
      <c r="H232" s="3">
        <f>H231+'MAIN DEPOT'!$G232</f>
        <v>523105</v>
      </c>
      <c r="I232" s="42">
        <f>I231+'MAIN DEPOT'!$F232-'MAIN DEPOT'!$E232-'MAIN DEPOT'!$G232</f>
        <v>369109</v>
      </c>
    </row>
    <row r="233" spans="1:9" ht="15">
      <c r="A233" s="39">
        <v>43272</v>
      </c>
      <c r="B233" s="31">
        <f t="shared" si="12"/>
        <v>1157</v>
      </c>
      <c r="C233" s="3">
        <v>924</v>
      </c>
      <c r="D233" s="68">
        <v>106.5</v>
      </c>
      <c r="E233" s="3">
        <f>300+500+750</f>
        <v>1550</v>
      </c>
      <c r="F233" s="3">
        <f>'MAIN DEPOT'!$C233*'MAIN DEPOT'!$D233</f>
        <v>98406</v>
      </c>
      <c r="G233" s="3">
        <f>68341+6450+1000+20060+2000+5200</f>
        <v>103051</v>
      </c>
      <c r="H233" s="3">
        <f>H232+'MAIN DEPOT'!$G233</f>
        <v>626156</v>
      </c>
      <c r="I233" s="42">
        <f>I232+'MAIN DEPOT'!$F233-'MAIN DEPOT'!$E233-'MAIN DEPOT'!$G233</f>
        <v>362914</v>
      </c>
    </row>
    <row r="234" spans="1:9" ht="15">
      <c r="A234" s="39">
        <v>43273</v>
      </c>
      <c r="B234" s="31">
        <f t="shared" si="12"/>
        <v>233</v>
      </c>
      <c r="C234" s="3">
        <v>144</v>
      </c>
      <c r="D234" s="68">
        <v>106.5</v>
      </c>
      <c r="E234" s="3">
        <v>15000</v>
      </c>
      <c r="F234" s="3">
        <f>'MAIN DEPOT'!$C234*'MAIN DEPOT'!$D234</f>
        <v>15336</v>
      </c>
      <c r="G234" s="3">
        <f>170</f>
        <v>170</v>
      </c>
      <c r="H234" s="3">
        <f>H233+'MAIN DEPOT'!$G234</f>
        <v>626326</v>
      </c>
      <c r="I234" s="42">
        <f>I233+'MAIN DEPOT'!$F234-'MAIN DEPOT'!$E234-'MAIN DEPOT'!$G234</f>
        <v>363080</v>
      </c>
    </row>
    <row r="235" spans="1:9" ht="15">
      <c r="A235" s="39">
        <v>43274</v>
      </c>
      <c r="B235" s="31">
        <f t="shared" si="12"/>
        <v>89</v>
      </c>
      <c r="C235" s="3">
        <v>35</v>
      </c>
      <c r="D235" s="68">
        <v>106.5</v>
      </c>
      <c r="E235" s="3">
        <f>1200</f>
        <v>1200</v>
      </c>
      <c r="F235" s="3">
        <f>'MAIN DEPOT'!$C235*'MAIN DEPOT'!$D235</f>
        <v>3727.5</v>
      </c>
      <c r="G235" s="3">
        <f>750+24500+4000</f>
        <v>29250</v>
      </c>
      <c r="H235" s="3">
        <f>H234+'MAIN DEPOT'!$G235</f>
        <v>655576</v>
      </c>
      <c r="I235" s="42">
        <f>I234+'MAIN DEPOT'!$F235-'MAIN DEPOT'!$E235-'MAIN DEPOT'!$G235</f>
        <v>336357.5</v>
      </c>
    </row>
    <row r="236" spans="1:9" ht="15">
      <c r="A236" s="39">
        <v>43275</v>
      </c>
      <c r="B236" s="31">
        <f t="shared" si="12"/>
        <v>54</v>
      </c>
      <c r="C236" s="3"/>
      <c r="D236" s="68">
        <v>106.5</v>
      </c>
      <c r="E236" s="3"/>
      <c r="F236" s="3"/>
      <c r="G236" s="3">
        <f>24550+1500</f>
        <v>26050</v>
      </c>
      <c r="H236" s="3">
        <f>H235+'MAIN DEPOT'!$G236</f>
        <v>681626</v>
      </c>
      <c r="I236" s="42">
        <f>I235+'MAIN DEPOT'!$F236-'MAIN DEPOT'!$E236-'MAIN DEPOT'!$G236</f>
        <v>310307.5</v>
      </c>
    </row>
    <row r="237" spans="1:9" ht="15">
      <c r="A237" s="15"/>
      <c r="B237" s="15"/>
      <c r="C237" s="15">
        <f>SUM(C223:C236)</f>
        <v>9946</v>
      </c>
      <c r="D237" s="15"/>
      <c r="E237" s="15">
        <f>SUM(E224:E236)</f>
        <v>61380</v>
      </c>
      <c r="F237" s="15">
        <f>SUM(F224:F236)</f>
        <v>1053313.5</v>
      </c>
      <c r="G237" s="15">
        <f>SUM(G224:G236)</f>
        <v>681626</v>
      </c>
      <c r="H237" s="15"/>
      <c r="I237" s="42"/>
    </row>
    <row r="238" spans="1:9" ht="15">
      <c r="A238" s="39"/>
      <c r="B238" s="31"/>
      <c r="C238" s="48"/>
      <c r="D238" s="68">
        <v>106.5</v>
      </c>
      <c r="E238" s="48"/>
      <c r="F238" s="3"/>
      <c r="G238" s="48"/>
      <c r="H238" s="3"/>
      <c r="I238" s="42"/>
    </row>
    <row r="239" spans="1:9" ht="15">
      <c r="A239" s="60" t="s">
        <v>26</v>
      </c>
      <c r="B239" s="8"/>
      <c r="C239" s="8">
        <f>MWANGULU!D234*20</f>
        <v>2700</v>
      </c>
      <c r="D239" s="68"/>
      <c r="E239" s="8">
        <f>MWANGULU!H234</f>
        <v>2100</v>
      </c>
      <c r="F239" s="8">
        <f>MWANGULU!F234</f>
        <v>285500</v>
      </c>
      <c r="G239" s="8">
        <f>MWANGULU!G234</f>
        <v>283791</v>
      </c>
      <c r="H239" s="8"/>
      <c r="I239" s="61"/>
    </row>
    <row r="240" spans="1:9" ht="15">
      <c r="A240" s="63"/>
      <c r="B240" s="64"/>
      <c r="C240" s="64"/>
      <c r="D240" s="64"/>
      <c r="E240" s="64"/>
      <c r="F240" s="64"/>
      <c r="G240" s="64">
        <f>G237+G239</f>
        <v>965417</v>
      </c>
      <c r="H240" s="64">
        <f>F237-G240</f>
        <v>87896.5</v>
      </c>
      <c r="I240" s="65"/>
    </row>
    <row r="241" spans="2:8" ht="15">
      <c r="B241" s="62" t="s">
        <v>52</v>
      </c>
      <c r="C241" s="53">
        <f>MWANGULU!C452*20</f>
        <v>0</v>
      </c>
      <c r="D241" s="12"/>
      <c r="E241" s="12"/>
      <c r="F241" s="12"/>
      <c r="G241" s="12"/>
      <c r="H241" s="20"/>
    </row>
    <row r="242" spans="2:8" ht="15">
      <c r="B242" s="12" t="s">
        <v>51</v>
      </c>
      <c r="C242" s="53">
        <f>C237-C239-C241</f>
        <v>7246</v>
      </c>
      <c r="D242" s="12"/>
      <c r="E242" s="12" t="s">
        <v>50</v>
      </c>
      <c r="F242" s="53">
        <f>C242*D238</f>
        <v>771699</v>
      </c>
      <c r="G242" s="12"/>
      <c r="H242" s="20"/>
    </row>
    <row r="243" spans="3:9" ht="15">
      <c r="C243" s="12"/>
      <c r="D243" s="12"/>
      <c r="E243" s="12" t="s">
        <v>53</v>
      </c>
      <c r="F243" s="53">
        <f>F242-E237-G237</f>
        <v>28693</v>
      </c>
      <c r="G243" s="53">
        <f>F239-E239-G239</f>
        <v>-391</v>
      </c>
      <c r="H243" s="20"/>
      <c r="I243" s="55">
        <f>G240-G225</f>
        <v>950182</v>
      </c>
    </row>
    <row r="246" ht="15">
      <c r="H246" s="20">
        <f>G240+E239+E237</f>
        <v>1028897</v>
      </c>
    </row>
  </sheetData>
  <sheetProtection/>
  <mergeCells count="4">
    <mergeCell ref="D28:G28"/>
    <mergeCell ref="D1:F1"/>
    <mergeCell ref="E56:G56"/>
    <mergeCell ref="B82:I82"/>
  </mergeCells>
  <printOptions/>
  <pageMargins left="0.7" right="0.7" top="0.75" bottom="0.75" header="0.3" footer="0.3"/>
  <pageSetup fitToHeight="1" fitToWidth="1" horizontalDpi="600" verticalDpi="600" orientation="portrait" scale="18" r:id="rId10"/>
  <ignoredErrors>
    <ignoredError sqref="G52" formulaRange="1"/>
    <ignoredError sqref="F146" formula="1"/>
  </ignoredErrors>
  <tableParts>
    <tablePart r:id="rId8"/>
    <tablePart r:id="rId6"/>
    <tablePart r:id="rId2"/>
    <tablePart r:id="rId3"/>
    <tablePart r:id="rId9"/>
    <tablePart r:id="rId4"/>
    <tablePart r:id="rId1"/>
    <tablePart r:id="rId5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M238"/>
  <sheetViews>
    <sheetView zoomScalePageLayoutView="0" workbookViewId="0" topLeftCell="A115">
      <selection activeCell="G233" sqref="G233"/>
    </sheetView>
  </sheetViews>
  <sheetFormatPr defaultColWidth="9.140625" defaultRowHeight="15"/>
  <cols>
    <col min="2" max="2" width="16.8515625" style="0" customWidth="1"/>
    <col min="3" max="3" width="13.421875" style="0" customWidth="1"/>
    <col min="4" max="4" width="11.28125" style="0" customWidth="1"/>
    <col min="5" max="5" width="13.421875" style="0" customWidth="1"/>
    <col min="6" max="6" width="11.57421875" style="0" customWidth="1"/>
    <col min="7" max="7" width="13.421875" style="0" customWidth="1"/>
    <col min="8" max="8" width="12.00390625" style="20" customWidth="1"/>
    <col min="9" max="9" width="11.140625" style="0" customWidth="1"/>
  </cols>
  <sheetData>
    <row r="3" spans="3:5" ht="15">
      <c r="C3" s="4" t="s">
        <v>10</v>
      </c>
      <c r="D3" s="4"/>
      <c r="E3" s="4"/>
    </row>
    <row r="4" spans="3:5" ht="15">
      <c r="C4" s="4"/>
      <c r="D4" s="4"/>
      <c r="E4" s="4"/>
    </row>
    <row r="5" spans="3:5" ht="15">
      <c r="C5" s="4" t="s">
        <v>19</v>
      </c>
      <c r="D5" s="4"/>
      <c r="E5" s="4"/>
    </row>
    <row r="6" spans="3:5" ht="15">
      <c r="C6" s="4"/>
      <c r="D6" s="4"/>
      <c r="E6" s="4"/>
    </row>
    <row r="7" spans="2:9" ht="15">
      <c r="B7" s="5" t="s">
        <v>0</v>
      </c>
      <c r="C7" s="5" t="s">
        <v>18</v>
      </c>
      <c r="D7" s="5" t="s">
        <v>16</v>
      </c>
      <c r="E7" s="5" t="s">
        <v>24</v>
      </c>
      <c r="F7" s="5" t="s">
        <v>1</v>
      </c>
      <c r="G7" s="5" t="s">
        <v>3</v>
      </c>
      <c r="H7" s="21" t="s">
        <v>6</v>
      </c>
      <c r="I7" s="5" t="s">
        <v>8</v>
      </c>
    </row>
    <row r="8" spans="2:9" ht="15">
      <c r="B8" s="5" t="s">
        <v>11</v>
      </c>
      <c r="C8" s="7"/>
      <c r="D8" s="7"/>
      <c r="E8" s="7"/>
      <c r="F8" s="7"/>
      <c r="G8" s="7"/>
      <c r="H8" s="7"/>
      <c r="I8" s="7"/>
    </row>
    <row r="9" spans="2:9" ht="15">
      <c r="B9" s="6" t="s">
        <v>12</v>
      </c>
      <c r="C9" s="7">
        <v>33</v>
      </c>
      <c r="D9" s="7">
        <v>33</v>
      </c>
      <c r="E9" s="7">
        <f aca="true" t="shared" si="0" ref="E9:E30">C9*104*20</f>
        <v>68640</v>
      </c>
      <c r="F9" s="7">
        <f>D9*20*105</f>
        <v>69300</v>
      </c>
      <c r="G9" s="7">
        <v>69300</v>
      </c>
      <c r="H9" s="7"/>
      <c r="I9" s="7">
        <f>F9-G9</f>
        <v>0</v>
      </c>
    </row>
    <row r="10" spans="2:9" ht="15">
      <c r="B10" s="6"/>
      <c r="C10" s="7"/>
      <c r="D10" s="7"/>
      <c r="E10" s="7">
        <f t="shared" si="0"/>
        <v>0</v>
      </c>
      <c r="F10" s="7">
        <f>D10*20*105</f>
        <v>0</v>
      </c>
      <c r="G10" s="7"/>
      <c r="H10" s="7"/>
      <c r="I10" s="7">
        <f>F10-G10</f>
        <v>0</v>
      </c>
    </row>
    <row r="11" spans="2:9" ht="15">
      <c r="B11" s="6" t="s">
        <v>17</v>
      </c>
      <c r="C11" s="7">
        <v>37</v>
      </c>
      <c r="D11" s="7">
        <v>37</v>
      </c>
      <c r="E11" s="7">
        <f t="shared" si="0"/>
        <v>76960</v>
      </c>
      <c r="F11" s="7">
        <f>D11*20*105</f>
        <v>77700</v>
      </c>
      <c r="G11" s="7">
        <v>77700</v>
      </c>
      <c r="H11" s="7"/>
      <c r="I11" s="7">
        <f>F11-G11</f>
        <v>0</v>
      </c>
    </row>
    <row r="12" spans="2:9" ht="15">
      <c r="B12" s="9"/>
      <c r="C12" s="10"/>
      <c r="D12" s="10"/>
      <c r="E12" s="10">
        <f t="shared" si="0"/>
        <v>0</v>
      </c>
      <c r="F12" s="10">
        <f>D12*20*105</f>
        <v>0</v>
      </c>
      <c r="G12" s="10"/>
      <c r="H12" s="7"/>
      <c r="I12" s="10">
        <f>F12-G12</f>
        <v>0</v>
      </c>
    </row>
    <row r="13" spans="2:9" ht="15">
      <c r="B13" s="6" t="s">
        <v>20</v>
      </c>
      <c r="C13" s="7">
        <v>125</v>
      </c>
      <c r="D13" s="7">
        <v>11</v>
      </c>
      <c r="E13" s="10">
        <f>C13*106*20</f>
        <v>265000</v>
      </c>
      <c r="F13" s="7">
        <f aca="true" t="shared" si="1" ref="F13:F19">D13*20*106</f>
        <v>23320</v>
      </c>
      <c r="G13" s="7">
        <v>70000</v>
      </c>
      <c r="H13" s="7"/>
      <c r="I13" s="7">
        <f>F13+I12-G13-H13</f>
        <v>-46680</v>
      </c>
    </row>
    <row r="14" spans="2:9" ht="15">
      <c r="B14" s="6" t="s">
        <v>21</v>
      </c>
      <c r="C14" s="7">
        <f>C13-D13</f>
        <v>114</v>
      </c>
      <c r="D14" s="7">
        <v>16</v>
      </c>
      <c r="E14" s="10">
        <f>C14*106*20</f>
        <v>241680</v>
      </c>
      <c r="F14" s="7">
        <f t="shared" si="1"/>
        <v>33920</v>
      </c>
      <c r="G14" s="7">
        <v>15874</v>
      </c>
      <c r="H14" s="7">
        <v>5000</v>
      </c>
      <c r="I14" s="7">
        <f>F14+I13-G14</f>
        <v>-28634</v>
      </c>
    </row>
    <row r="15" spans="2:9" ht="15">
      <c r="B15" s="6" t="s">
        <v>22</v>
      </c>
      <c r="C15" s="7">
        <f>C14-D14</f>
        <v>98</v>
      </c>
      <c r="D15" s="7">
        <v>39</v>
      </c>
      <c r="E15" s="10">
        <f>C15*106*20</f>
        <v>207760</v>
      </c>
      <c r="F15" s="7">
        <f t="shared" si="1"/>
        <v>82680</v>
      </c>
      <c r="G15" s="7">
        <v>48160</v>
      </c>
      <c r="H15" s="7"/>
      <c r="I15" s="7">
        <f>F15+I14-G15</f>
        <v>5886</v>
      </c>
    </row>
    <row r="16" spans="2:9" ht="15">
      <c r="B16" s="6" t="s">
        <v>23</v>
      </c>
      <c r="C16" s="7">
        <f>C15-D15</f>
        <v>59</v>
      </c>
      <c r="D16" s="52">
        <v>2</v>
      </c>
      <c r="E16" s="10">
        <f>C16*106*20</f>
        <v>125080</v>
      </c>
      <c r="F16" s="7">
        <f t="shared" si="1"/>
        <v>4240</v>
      </c>
      <c r="G16" s="7">
        <v>0</v>
      </c>
      <c r="H16" s="7"/>
      <c r="I16" s="7">
        <f>F16+I15-G16</f>
        <v>10126</v>
      </c>
    </row>
    <row r="17" spans="1:9" ht="15">
      <c r="A17" t="s">
        <v>25</v>
      </c>
      <c r="B17" s="6"/>
      <c r="C17" s="7">
        <f>C16-D16</f>
        <v>57</v>
      </c>
      <c r="D17" s="7">
        <v>0</v>
      </c>
      <c r="E17" s="10">
        <f>C17*106*20</f>
        <v>120840</v>
      </c>
      <c r="F17" s="7">
        <f t="shared" si="1"/>
        <v>0</v>
      </c>
      <c r="G17" s="7">
        <v>0</v>
      </c>
      <c r="H17" s="7">
        <v>0</v>
      </c>
      <c r="I17" s="7">
        <f>F17+I16-G17-H17</f>
        <v>10126</v>
      </c>
    </row>
    <row r="18" spans="2:9" ht="15">
      <c r="B18" s="6"/>
      <c r="C18" s="7"/>
      <c r="D18" s="7"/>
      <c r="E18" s="10"/>
      <c r="F18" s="7"/>
      <c r="G18" s="7"/>
      <c r="H18" s="7"/>
      <c r="I18" s="7"/>
    </row>
    <row r="19" spans="2:10" ht="15">
      <c r="B19" s="19">
        <v>43160</v>
      </c>
      <c r="C19" s="7">
        <v>59</v>
      </c>
      <c r="D19" s="7">
        <v>9</v>
      </c>
      <c r="E19" s="7">
        <f t="shared" si="0"/>
        <v>122720</v>
      </c>
      <c r="F19" s="7">
        <f t="shared" si="1"/>
        <v>19080</v>
      </c>
      <c r="G19" s="7">
        <v>0</v>
      </c>
      <c r="H19" s="7">
        <v>0</v>
      </c>
      <c r="I19" s="7">
        <f>F19+I17-G19-H19</f>
        <v>29206</v>
      </c>
      <c r="J19" s="20"/>
    </row>
    <row r="20" spans="2:9" ht="15">
      <c r="B20" s="19">
        <v>43161</v>
      </c>
      <c r="C20" s="7">
        <f>C19-D19</f>
        <v>50</v>
      </c>
      <c r="D20" s="7">
        <v>11</v>
      </c>
      <c r="E20" s="7">
        <f t="shared" si="0"/>
        <v>104000</v>
      </c>
      <c r="F20" s="7">
        <f aca="true" t="shared" si="2" ref="F20:F30">D20*20*106</f>
        <v>23320</v>
      </c>
      <c r="G20" s="7">
        <v>41602</v>
      </c>
      <c r="H20" s="7">
        <v>0</v>
      </c>
      <c r="I20" s="7">
        <f aca="true" t="shared" si="3" ref="I20:I29">F20+I19-G20-H20</f>
        <v>10924</v>
      </c>
    </row>
    <row r="21" spans="2:9" ht="15">
      <c r="B21" s="19">
        <v>43162</v>
      </c>
      <c r="C21" s="7">
        <f aca="true" t="shared" si="4" ref="C21:C30">C20-D20</f>
        <v>39</v>
      </c>
      <c r="D21" s="7">
        <v>13</v>
      </c>
      <c r="E21" s="7">
        <f t="shared" si="0"/>
        <v>81120</v>
      </c>
      <c r="F21" s="7">
        <f t="shared" si="2"/>
        <v>27560</v>
      </c>
      <c r="G21" s="7">
        <v>0</v>
      </c>
      <c r="H21" s="7">
        <v>4000</v>
      </c>
      <c r="I21" s="7">
        <f t="shared" si="3"/>
        <v>34484</v>
      </c>
    </row>
    <row r="22" spans="2:12" ht="15">
      <c r="B22" s="19">
        <v>43163</v>
      </c>
      <c r="C22" s="7">
        <f t="shared" si="4"/>
        <v>26</v>
      </c>
      <c r="D22" s="7">
        <v>23</v>
      </c>
      <c r="E22" s="7">
        <f t="shared" si="0"/>
        <v>54080</v>
      </c>
      <c r="F22" s="7">
        <f t="shared" si="2"/>
        <v>48760</v>
      </c>
      <c r="G22" s="7">
        <f>60000+10823</f>
        <v>70823</v>
      </c>
      <c r="H22" s="7">
        <v>1180</v>
      </c>
      <c r="I22" s="7">
        <f t="shared" si="3"/>
        <v>11241</v>
      </c>
      <c r="J22" s="20"/>
      <c r="K22" s="20"/>
      <c r="L22" s="20"/>
    </row>
    <row r="23" spans="2:11" ht="15">
      <c r="B23" s="19">
        <v>43164</v>
      </c>
      <c r="C23" s="7">
        <f>C22-D22+40</f>
        <v>43</v>
      </c>
      <c r="D23" s="7">
        <v>16</v>
      </c>
      <c r="E23" s="7">
        <f t="shared" si="0"/>
        <v>89440</v>
      </c>
      <c r="F23" s="7">
        <f t="shared" si="2"/>
        <v>33920</v>
      </c>
      <c r="G23" s="7">
        <v>0</v>
      </c>
      <c r="H23" s="7">
        <v>2100</v>
      </c>
      <c r="I23" s="7">
        <f t="shared" si="3"/>
        <v>43061</v>
      </c>
      <c r="J23" s="20"/>
      <c r="K23" s="20"/>
    </row>
    <row r="24" spans="2:11" ht="15">
      <c r="B24" s="19">
        <v>43165</v>
      </c>
      <c r="C24" s="7">
        <f t="shared" si="4"/>
        <v>27</v>
      </c>
      <c r="D24" s="7">
        <v>7</v>
      </c>
      <c r="E24" s="7">
        <f t="shared" si="0"/>
        <v>56160</v>
      </c>
      <c r="F24" s="7">
        <f t="shared" si="2"/>
        <v>14840</v>
      </c>
      <c r="G24" s="7">
        <v>45872</v>
      </c>
      <c r="H24" s="7">
        <v>600</v>
      </c>
      <c r="I24" s="7">
        <f t="shared" si="3"/>
        <v>11429</v>
      </c>
      <c r="K24" s="20"/>
    </row>
    <row r="25" spans="2:11" ht="15">
      <c r="B25" s="19">
        <v>43166</v>
      </c>
      <c r="C25" s="7">
        <f t="shared" si="4"/>
        <v>20</v>
      </c>
      <c r="D25" s="7">
        <v>3</v>
      </c>
      <c r="E25" s="7">
        <f t="shared" si="0"/>
        <v>41600</v>
      </c>
      <c r="F25" s="7">
        <f t="shared" si="2"/>
        <v>6360</v>
      </c>
      <c r="G25" s="7">
        <v>0</v>
      </c>
      <c r="H25" s="7">
        <f>200+60+300</f>
        <v>560</v>
      </c>
      <c r="I25" s="7">
        <f t="shared" si="3"/>
        <v>17229</v>
      </c>
      <c r="K25" s="20"/>
    </row>
    <row r="26" spans="2:9" ht="15">
      <c r="B26" s="19">
        <v>43167</v>
      </c>
      <c r="C26" s="7">
        <f>C25-D25+17</f>
        <v>34</v>
      </c>
      <c r="D26" s="7">
        <v>4</v>
      </c>
      <c r="E26" s="7">
        <f t="shared" si="0"/>
        <v>70720</v>
      </c>
      <c r="F26" s="7">
        <f t="shared" si="2"/>
        <v>8480</v>
      </c>
      <c r="G26" s="7">
        <v>0</v>
      </c>
      <c r="H26" s="7">
        <v>100</v>
      </c>
      <c r="I26" s="7">
        <f t="shared" si="3"/>
        <v>25609</v>
      </c>
    </row>
    <row r="27" spans="2:10" ht="15">
      <c r="B27" s="19">
        <v>43168</v>
      </c>
      <c r="C27" s="7">
        <f t="shared" si="4"/>
        <v>30</v>
      </c>
      <c r="D27" s="7">
        <v>11</v>
      </c>
      <c r="E27" s="7">
        <f t="shared" si="0"/>
        <v>62400</v>
      </c>
      <c r="F27" s="7">
        <f t="shared" si="2"/>
        <v>23320</v>
      </c>
      <c r="G27" s="7">
        <v>36702</v>
      </c>
      <c r="H27" s="7">
        <v>600</v>
      </c>
      <c r="I27" s="7">
        <f t="shared" si="3"/>
        <v>11627</v>
      </c>
      <c r="J27" s="20"/>
    </row>
    <row r="28" spans="2:10" ht="15">
      <c r="B28" s="19">
        <v>43169</v>
      </c>
      <c r="C28" s="7">
        <f t="shared" si="4"/>
        <v>19</v>
      </c>
      <c r="D28" s="7">
        <v>10</v>
      </c>
      <c r="E28" s="7">
        <f t="shared" si="0"/>
        <v>39520</v>
      </c>
      <c r="F28" s="7">
        <f t="shared" si="2"/>
        <v>21200</v>
      </c>
      <c r="G28" s="7"/>
      <c r="H28" s="7">
        <v>500</v>
      </c>
      <c r="I28" s="7">
        <f t="shared" si="3"/>
        <v>32327</v>
      </c>
      <c r="J28" s="20"/>
    </row>
    <row r="29" spans="2:10" ht="15">
      <c r="B29" s="19">
        <v>43170</v>
      </c>
      <c r="C29" s="7">
        <f t="shared" si="4"/>
        <v>9</v>
      </c>
      <c r="D29" s="7">
        <v>8</v>
      </c>
      <c r="E29" s="7">
        <f t="shared" si="0"/>
        <v>18720</v>
      </c>
      <c r="F29" s="7">
        <f t="shared" si="2"/>
        <v>16960</v>
      </c>
      <c r="G29" s="7">
        <v>37681</v>
      </c>
      <c r="H29" s="7"/>
      <c r="I29" s="7">
        <f t="shared" si="3"/>
        <v>11606</v>
      </c>
      <c r="J29" s="7"/>
    </row>
    <row r="30" spans="2:9" ht="15">
      <c r="B30" s="19">
        <v>43171</v>
      </c>
      <c r="C30" s="7">
        <f t="shared" si="4"/>
        <v>1</v>
      </c>
      <c r="D30" s="7">
        <v>1</v>
      </c>
      <c r="E30" s="7">
        <f t="shared" si="0"/>
        <v>2080</v>
      </c>
      <c r="F30" s="7">
        <f t="shared" si="2"/>
        <v>2120</v>
      </c>
      <c r="G30" s="20"/>
      <c r="H30" s="7">
        <v>1100</v>
      </c>
      <c r="I30" s="7">
        <f>F30+I29-J29-H30</f>
        <v>12626</v>
      </c>
    </row>
    <row r="31" spans="2:9" ht="15">
      <c r="B31" s="19"/>
      <c r="C31" s="7"/>
      <c r="D31" s="7"/>
      <c r="E31" s="7"/>
      <c r="F31" s="7"/>
      <c r="G31" s="7"/>
      <c r="H31" s="7"/>
      <c r="I31" s="7"/>
    </row>
    <row r="32" spans="2:9" ht="15">
      <c r="B32" s="19"/>
      <c r="C32" s="7"/>
      <c r="D32" s="7"/>
      <c r="E32" s="7"/>
      <c r="F32" s="7"/>
      <c r="G32" s="7"/>
      <c r="H32" s="7"/>
      <c r="I32" s="7"/>
    </row>
    <row r="33" spans="2:10" ht="15">
      <c r="B33" s="19"/>
      <c r="C33" s="7"/>
      <c r="D33" s="7"/>
      <c r="E33" s="7"/>
      <c r="F33" s="7"/>
      <c r="G33" s="7"/>
      <c r="H33" s="7"/>
      <c r="I33" s="7"/>
      <c r="J33" s="20"/>
    </row>
    <row r="34" spans="2:9" ht="15">
      <c r="B34" s="19"/>
      <c r="C34" s="7"/>
      <c r="D34" s="7"/>
      <c r="E34" s="7"/>
      <c r="F34" s="7"/>
      <c r="G34" s="7"/>
      <c r="H34" s="7"/>
      <c r="I34" s="7"/>
    </row>
    <row r="35" spans="2:9" ht="15">
      <c r="B35" s="6"/>
      <c r="C35" s="7"/>
      <c r="D35" s="7"/>
      <c r="E35" s="7"/>
      <c r="F35" s="7"/>
      <c r="G35" s="7"/>
      <c r="H35" s="7"/>
      <c r="I35" s="7"/>
    </row>
    <row r="36" spans="1:10" ht="15">
      <c r="A36" s="14" t="s">
        <v>8</v>
      </c>
      <c r="B36" s="13">
        <f>C36-D36</f>
        <v>-184</v>
      </c>
      <c r="C36" s="11"/>
      <c r="D36" s="11">
        <f>SUM(D13:D35)</f>
        <v>184</v>
      </c>
      <c r="E36" s="11"/>
      <c r="F36" s="11">
        <f>SUM(F13:F35)</f>
        <v>390080</v>
      </c>
      <c r="G36" s="11">
        <f>SUM(G13:G35)</f>
        <v>366714</v>
      </c>
      <c r="H36" s="22">
        <f>SUM(H19:H35)+H14</f>
        <v>15740</v>
      </c>
      <c r="I36" s="11"/>
      <c r="J36" s="20"/>
    </row>
    <row r="37" spans="1:10" ht="15">
      <c r="A37" s="14"/>
      <c r="B37" s="36"/>
      <c r="C37" s="37"/>
      <c r="D37" s="37" t="s">
        <v>32</v>
      </c>
      <c r="E37" s="37"/>
      <c r="F37" s="37">
        <f>SUM(F19:F34)</f>
        <v>245920</v>
      </c>
      <c r="G37" s="37">
        <f>SUM(G19:G34)</f>
        <v>232680</v>
      </c>
      <c r="H37" s="37">
        <f>SUM(H19:H34)</f>
        <v>10740</v>
      </c>
      <c r="I37" s="37"/>
      <c r="J37" s="20"/>
    </row>
    <row r="38" spans="7:8" ht="15">
      <c r="G38" s="20"/>
      <c r="H38" s="20">
        <v>22300</v>
      </c>
    </row>
    <row r="39" spans="3:8" ht="21">
      <c r="C39" s="151" t="s">
        <v>37</v>
      </c>
      <c r="D39" s="151"/>
      <c r="E39" s="151"/>
      <c r="F39" s="151"/>
      <c r="G39" s="151"/>
      <c r="H39" s="151"/>
    </row>
    <row r="40" spans="2:9" ht="15">
      <c r="B40" s="152" t="s">
        <v>19</v>
      </c>
      <c r="C40" s="152"/>
      <c r="D40" s="152"/>
      <c r="E40" s="152"/>
      <c r="F40" s="152"/>
      <c r="G40" s="152"/>
      <c r="H40" s="152"/>
      <c r="I40" s="152"/>
    </row>
    <row r="41" spans="3:5" ht="15">
      <c r="C41" s="4"/>
      <c r="D41" s="4"/>
      <c r="E41" s="4"/>
    </row>
    <row r="42" spans="2:9" ht="15">
      <c r="B42" s="5" t="s">
        <v>0</v>
      </c>
      <c r="C42" s="5" t="s">
        <v>18</v>
      </c>
      <c r="D42" s="5" t="s">
        <v>16</v>
      </c>
      <c r="E42" s="5" t="s">
        <v>24</v>
      </c>
      <c r="F42" s="5" t="s">
        <v>1</v>
      </c>
      <c r="G42" s="5" t="s">
        <v>3</v>
      </c>
      <c r="H42" s="21" t="s">
        <v>6</v>
      </c>
      <c r="I42" s="5" t="s">
        <v>8</v>
      </c>
    </row>
    <row r="43" spans="2:9" ht="15">
      <c r="B43" s="5" t="s">
        <v>29</v>
      </c>
      <c r="C43" s="7">
        <v>26</v>
      </c>
      <c r="D43" s="7"/>
      <c r="E43" s="7"/>
      <c r="F43" s="7"/>
      <c r="G43" s="7"/>
      <c r="H43" s="7"/>
      <c r="I43" s="7"/>
    </row>
    <row r="44" spans="2:9" ht="15">
      <c r="B44" s="6"/>
      <c r="C44" s="7"/>
      <c r="D44" s="7"/>
      <c r="E44" s="7"/>
      <c r="F44" s="7"/>
      <c r="G44" s="7"/>
      <c r="H44" s="7"/>
      <c r="I44" s="7"/>
    </row>
    <row r="45" spans="2:9" ht="15">
      <c r="B45" s="19">
        <v>43168</v>
      </c>
      <c r="C45" s="7">
        <v>40</v>
      </c>
      <c r="D45" s="7">
        <v>0</v>
      </c>
      <c r="E45" s="7">
        <f aca="true" t="shared" si="5" ref="E45:E62">C45*106*20</f>
        <v>84800</v>
      </c>
      <c r="F45" s="7">
        <f>D45*20*106</f>
        <v>0</v>
      </c>
      <c r="G45" s="7">
        <v>0</v>
      </c>
      <c r="H45" s="7">
        <v>0</v>
      </c>
      <c r="I45" s="7">
        <f aca="true" t="shared" si="6" ref="I45:I66">F45+I44-G45-H45</f>
        <v>0</v>
      </c>
    </row>
    <row r="46" spans="2:9" ht="15">
      <c r="B46" s="19">
        <v>43169</v>
      </c>
      <c r="C46" s="7">
        <f aca="true" t="shared" si="7" ref="C46:C63">C45-D45</f>
        <v>40</v>
      </c>
      <c r="D46" s="7">
        <v>0</v>
      </c>
      <c r="E46" s="7">
        <f t="shared" si="5"/>
        <v>84800</v>
      </c>
      <c r="F46" s="7">
        <f aca="true" t="shared" si="8" ref="F46:F62">D46*20*106</f>
        <v>0</v>
      </c>
      <c r="G46" s="7">
        <v>0</v>
      </c>
      <c r="H46" s="7">
        <v>0</v>
      </c>
      <c r="I46" s="7">
        <f t="shared" si="6"/>
        <v>0</v>
      </c>
    </row>
    <row r="47" spans="2:9" ht="15">
      <c r="B47" s="19">
        <v>43170</v>
      </c>
      <c r="C47" s="7">
        <f t="shared" si="7"/>
        <v>40</v>
      </c>
      <c r="D47" s="7">
        <v>0</v>
      </c>
      <c r="E47" s="7">
        <f t="shared" si="5"/>
        <v>84800</v>
      </c>
      <c r="F47" s="7">
        <f t="shared" si="8"/>
        <v>0</v>
      </c>
      <c r="G47" s="7">
        <v>0</v>
      </c>
      <c r="H47" s="7">
        <v>0</v>
      </c>
      <c r="I47" s="7">
        <f t="shared" si="6"/>
        <v>0</v>
      </c>
    </row>
    <row r="48" spans="2:9" ht="15">
      <c r="B48" s="19">
        <v>43171</v>
      </c>
      <c r="C48" s="7">
        <f t="shared" si="7"/>
        <v>40</v>
      </c>
      <c r="D48" s="7">
        <v>9</v>
      </c>
      <c r="E48" s="7">
        <f t="shared" si="5"/>
        <v>84800</v>
      </c>
      <c r="F48" s="7">
        <f t="shared" si="8"/>
        <v>19080</v>
      </c>
      <c r="G48" s="7">
        <v>19880</v>
      </c>
      <c r="H48" s="7">
        <v>500</v>
      </c>
      <c r="I48" s="7">
        <f t="shared" si="6"/>
        <v>-1300</v>
      </c>
    </row>
    <row r="49" spans="2:9" ht="15">
      <c r="B49" s="19">
        <v>43172</v>
      </c>
      <c r="C49" s="7">
        <f t="shared" si="7"/>
        <v>31</v>
      </c>
      <c r="D49" s="7">
        <v>6</v>
      </c>
      <c r="E49" s="7">
        <f t="shared" si="5"/>
        <v>65720</v>
      </c>
      <c r="F49" s="7">
        <f t="shared" si="8"/>
        <v>12720</v>
      </c>
      <c r="G49" s="7">
        <v>0</v>
      </c>
      <c r="H49" s="7">
        <v>900</v>
      </c>
      <c r="I49" s="7">
        <f t="shared" si="6"/>
        <v>10520</v>
      </c>
    </row>
    <row r="50" spans="2:9" ht="15">
      <c r="B50" s="19">
        <v>43173</v>
      </c>
      <c r="C50" s="7">
        <f t="shared" si="7"/>
        <v>25</v>
      </c>
      <c r="D50" s="7">
        <v>7</v>
      </c>
      <c r="E50" s="7">
        <f t="shared" si="5"/>
        <v>53000</v>
      </c>
      <c r="F50" s="7">
        <f t="shared" si="8"/>
        <v>14840</v>
      </c>
      <c r="G50" s="7">
        <v>28762</v>
      </c>
      <c r="H50" s="7">
        <v>700</v>
      </c>
      <c r="I50" s="7">
        <f t="shared" si="6"/>
        <v>-4102</v>
      </c>
    </row>
    <row r="51" spans="2:9" ht="15">
      <c r="B51" s="19">
        <v>43174</v>
      </c>
      <c r="C51" s="7">
        <f t="shared" si="7"/>
        <v>18</v>
      </c>
      <c r="D51" s="7">
        <v>19</v>
      </c>
      <c r="E51" s="7">
        <f t="shared" si="5"/>
        <v>38160</v>
      </c>
      <c r="F51" s="7">
        <f t="shared" si="8"/>
        <v>40280</v>
      </c>
      <c r="G51" s="7">
        <v>0</v>
      </c>
      <c r="H51" s="7">
        <v>0</v>
      </c>
      <c r="I51" s="7">
        <f t="shared" si="6"/>
        <v>36178</v>
      </c>
    </row>
    <row r="52" spans="2:9" ht="15">
      <c r="B52" s="19">
        <v>43175</v>
      </c>
      <c r="C52" s="7">
        <f>C51-D51+64</f>
        <v>63</v>
      </c>
      <c r="D52" s="7">
        <v>6</v>
      </c>
      <c r="E52" s="7">
        <f t="shared" si="5"/>
        <v>133560</v>
      </c>
      <c r="F52" s="7">
        <f t="shared" si="8"/>
        <v>12720</v>
      </c>
      <c r="G52" s="7">
        <v>0</v>
      </c>
      <c r="H52" s="20">
        <v>1660</v>
      </c>
      <c r="I52" s="7">
        <f t="shared" si="6"/>
        <v>47238</v>
      </c>
    </row>
    <row r="53" spans="2:9" ht="15">
      <c r="B53" s="19">
        <v>43176</v>
      </c>
      <c r="C53" s="7">
        <f t="shared" si="7"/>
        <v>57</v>
      </c>
      <c r="D53" s="7">
        <v>11</v>
      </c>
      <c r="E53" s="7">
        <f t="shared" si="5"/>
        <v>120840</v>
      </c>
      <c r="F53" s="7">
        <f t="shared" si="8"/>
        <v>23320</v>
      </c>
      <c r="G53" s="7">
        <v>33962</v>
      </c>
      <c r="H53" s="7">
        <v>1100</v>
      </c>
      <c r="I53" s="7">
        <f t="shared" si="6"/>
        <v>35496</v>
      </c>
    </row>
    <row r="54" spans="2:9" ht="15">
      <c r="B54" s="19">
        <v>43177</v>
      </c>
      <c r="C54" s="7">
        <f t="shared" si="7"/>
        <v>46</v>
      </c>
      <c r="D54" s="7">
        <v>16</v>
      </c>
      <c r="E54" s="7">
        <f t="shared" si="5"/>
        <v>97520</v>
      </c>
      <c r="F54" s="7">
        <f t="shared" si="8"/>
        <v>33920</v>
      </c>
      <c r="G54" s="7">
        <v>29830</v>
      </c>
      <c r="H54" s="7">
        <v>0</v>
      </c>
      <c r="I54" s="7">
        <f t="shared" si="6"/>
        <v>39586</v>
      </c>
    </row>
    <row r="55" spans="2:9" ht="15">
      <c r="B55" s="19">
        <v>43178</v>
      </c>
      <c r="C55" s="7">
        <f t="shared" si="7"/>
        <v>30</v>
      </c>
      <c r="D55" s="7">
        <v>31</v>
      </c>
      <c r="E55" s="7">
        <f t="shared" si="5"/>
        <v>63600</v>
      </c>
      <c r="F55" s="7">
        <f t="shared" si="8"/>
        <v>65720</v>
      </c>
      <c r="G55" s="7">
        <v>83750</v>
      </c>
      <c r="H55" s="7">
        <v>1800</v>
      </c>
      <c r="I55" s="7">
        <f t="shared" si="6"/>
        <v>19756</v>
      </c>
    </row>
    <row r="56" spans="2:10" ht="15">
      <c r="B56" s="19">
        <v>43179</v>
      </c>
      <c r="C56" s="7">
        <f>C55-D55+80</f>
        <v>79</v>
      </c>
      <c r="D56" s="7">
        <v>2</v>
      </c>
      <c r="E56" s="7">
        <f t="shared" si="5"/>
        <v>167480</v>
      </c>
      <c r="F56" s="7">
        <f t="shared" si="8"/>
        <v>4240</v>
      </c>
      <c r="G56" s="7"/>
      <c r="H56" s="7">
        <v>6850</v>
      </c>
      <c r="I56" s="7">
        <f t="shared" si="6"/>
        <v>17146</v>
      </c>
      <c r="J56" s="20"/>
    </row>
    <row r="57" spans="2:10" ht="15">
      <c r="B57" s="19">
        <v>43180</v>
      </c>
      <c r="C57" s="7">
        <f t="shared" si="7"/>
        <v>77</v>
      </c>
      <c r="D57" s="7">
        <v>8</v>
      </c>
      <c r="E57" s="7">
        <f t="shared" si="5"/>
        <v>163240</v>
      </c>
      <c r="F57" s="7">
        <f t="shared" si="8"/>
        <v>16960</v>
      </c>
      <c r="G57" s="7"/>
      <c r="H57" s="7">
        <v>0</v>
      </c>
      <c r="I57" s="7">
        <f t="shared" si="6"/>
        <v>34106</v>
      </c>
      <c r="J57" s="20"/>
    </row>
    <row r="58" spans="2:9" ht="15">
      <c r="B58" s="19">
        <v>43181</v>
      </c>
      <c r="C58" s="7">
        <f t="shared" si="7"/>
        <v>69</v>
      </c>
      <c r="D58" s="7">
        <v>8</v>
      </c>
      <c r="E58" s="7">
        <f t="shared" si="5"/>
        <v>146280</v>
      </c>
      <c r="F58" s="7">
        <f t="shared" si="8"/>
        <v>16960</v>
      </c>
      <c r="G58" s="7"/>
      <c r="H58" s="7">
        <v>0</v>
      </c>
      <c r="I58" s="7">
        <f t="shared" si="6"/>
        <v>51066</v>
      </c>
    </row>
    <row r="59" spans="2:9" ht="15">
      <c r="B59" s="19">
        <v>43182</v>
      </c>
      <c r="C59" s="7">
        <f t="shared" si="7"/>
        <v>61</v>
      </c>
      <c r="D59" s="7">
        <v>7</v>
      </c>
      <c r="E59" s="7">
        <f t="shared" si="5"/>
        <v>129320</v>
      </c>
      <c r="F59" s="7">
        <f t="shared" si="8"/>
        <v>14840</v>
      </c>
      <c r="G59" s="7">
        <v>21150</v>
      </c>
      <c r="H59" s="7"/>
      <c r="I59" s="7">
        <f t="shared" si="6"/>
        <v>44756</v>
      </c>
    </row>
    <row r="60" spans="2:9" ht="15">
      <c r="B60" s="19">
        <v>43183</v>
      </c>
      <c r="C60" s="7">
        <f t="shared" si="7"/>
        <v>54</v>
      </c>
      <c r="D60" s="7">
        <v>8</v>
      </c>
      <c r="E60" s="7">
        <f t="shared" si="5"/>
        <v>114480</v>
      </c>
      <c r="F60" s="7">
        <f t="shared" si="8"/>
        <v>16960</v>
      </c>
      <c r="G60" s="7">
        <f>23000+4500</f>
        <v>27500</v>
      </c>
      <c r="H60" s="7"/>
      <c r="I60" s="7">
        <f t="shared" si="6"/>
        <v>34216</v>
      </c>
    </row>
    <row r="61" spans="2:9" ht="15">
      <c r="B61" s="19">
        <v>43184</v>
      </c>
      <c r="C61" s="7">
        <f t="shared" si="7"/>
        <v>46</v>
      </c>
      <c r="D61" s="7">
        <v>13</v>
      </c>
      <c r="E61" s="7">
        <f t="shared" si="5"/>
        <v>97520</v>
      </c>
      <c r="F61" s="7">
        <f t="shared" si="8"/>
        <v>27560</v>
      </c>
      <c r="G61" s="7">
        <v>29790</v>
      </c>
      <c r="H61" s="7"/>
      <c r="I61" s="7">
        <f t="shared" si="6"/>
        <v>31986</v>
      </c>
    </row>
    <row r="62" spans="2:9" ht="15">
      <c r="B62" s="19">
        <v>43185</v>
      </c>
      <c r="C62" s="7">
        <f t="shared" si="7"/>
        <v>33</v>
      </c>
      <c r="D62" s="7">
        <v>33</v>
      </c>
      <c r="E62" s="7">
        <f t="shared" si="5"/>
        <v>69960</v>
      </c>
      <c r="F62" s="7">
        <f t="shared" si="8"/>
        <v>69960</v>
      </c>
      <c r="G62" s="7">
        <v>69730</v>
      </c>
      <c r="H62" s="7"/>
      <c r="I62" s="7">
        <f t="shared" si="6"/>
        <v>32216</v>
      </c>
    </row>
    <row r="63" spans="2:9" ht="15">
      <c r="B63" s="19">
        <v>43186</v>
      </c>
      <c r="C63" s="7">
        <f t="shared" si="7"/>
        <v>0</v>
      </c>
      <c r="D63" s="7"/>
      <c r="F63" s="7">
        <f>C63*106*20</f>
        <v>0</v>
      </c>
      <c r="G63" s="7">
        <v>19080</v>
      </c>
      <c r="H63" s="7"/>
      <c r="I63" s="7">
        <f>F63+I62-G63-H63</f>
        <v>13136</v>
      </c>
    </row>
    <row r="64" spans="2:10" ht="15">
      <c r="B64" s="19">
        <v>43187</v>
      </c>
      <c r="C64" s="7"/>
      <c r="D64" s="7"/>
      <c r="E64" s="6"/>
      <c r="F64" s="6"/>
      <c r="G64" s="7">
        <v>5000</v>
      </c>
      <c r="H64" s="7"/>
      <c r="I64" s="7">
        <f t="shared" si="6"/>
        <v>8136</v>
      </c>
      <c r="J64" s="20">
        <f>G62+G63+G65+G61+G60</f>
        <v>146100</v>
      </c>
    </row>
    <row r="65" spans="2:9" ht="15">
      <c r="B65" s="19"/>
      <c r="C65" s="7"/>
      <c r="D65" s="7"/>
      <c r="E65" s="6"/>
      <c r="F65" s="6"/>
      <c r="G65" s="7"/>
      <c r="H65" s="7">
        <v>1283</v>
      </c>
      <c r="I65" s="7">
        <f t="shared" si="6"/>
        <v>6853</v>
      </c>
    </row>
    <row r="66" spans="2:9" ht="15">
      <c r="B66" s="19"/>
      <c r="C66" s="7"/>
      <c r="D66" s="7"/>
      <c r="E66" s="6"/>
      <c r="F66" s="6"/>
      <c r="G66" s="6"/>
      <c r="H66" s="7"/>
      <c r="I66" s="7">
        <f t="shared" si="6"/>
        <v>6853</v>
      </c>
    </row>
    <row r="67" spans="2:9" ht="15">
      <c r="B67" s="19"/>
      <c r="C67" s="7"/>
      <c r="D67" s="7"/>
      <c r="E67" s="6"/>
      <c r="F67" s="6"/>
      <c r="G67" s="6"/>
      <c r="H67" s="7"/>
      <c r="I67" s="6"/>
    </row>
    <row r="68" spans="2:9" ht="15">
      <c r="B68" s="19"/>
      <c r="C68" s="7"/>
      <c r="D68" s="7"/>
      <c r="E68" s="6"/>
      <c r="F68" s="6"/>
      <c r="G68" s="6"/>
      <c r="H68" s="7"/>
      <c r="I68" s="6"/>
    </row>
    <row r="69" spans="2:9" ht="15">
      <c r="B69" s="6"/>
      <c r="C69" s="7"/>
      <c r="D69" s="7"/>
      <c r="E69" s="6"/>
      <c r="F69" s="6"/>
      <c r="G69" s="6"/>
      <c r="H69" s="7"/>
      <c r="I69" s="6"/>
    </row>
    <row r="70" spans="1:10" ht="15">
      <c r="A70" s="14" t="s">
        <v>8</v>
      </c>
      <c r="B70" s="13"/>
      <c r="C70" s="11"/>
      <c r="D70" s="11">
        <f>SUM(D45:D62)</f>
        <v>184</v>
      </c>
      <c r="E70" s="13">
        <f>D70*106*20</f>
        <v>390080</v>
      </c>
      <c r="F70" s="22">
        <f>SUM(F45:F69)</f>
        <v>390080</v>
      </c>
      <c r="G70" s="22">
        <f>SUM(G45:G69)</f>
        <v>368434</v>
      </c>
      <c r="H70" s="22">
        <f>SUM(H45:H69)</f>
        <v>14793</v>
      </c>
      <c r="I70" s="13"/>
      <c r="J70" s="20"/>
    </row>
    <row r="71" spans="6:7" ht="15">
      <c r="F71" s="20">
        <f>F70-H70</f>
        <v>375287</v>
      </c>
      <c r="G71" s="53">
        <f>F71-G70</f>
        <v>6853</v>
      </c>
    </row>
    <row r="72" ht="15">
      <c r="D72" s="20"/>
    </row>
    <row r="73" spans="1:8" ht="15">
      <c r="A73" s="152" t="s">
        <v>36</v>
      </c>
      <c r="B73" s="152"/>
      <c r="C73" s="152"/>
      <c r="D73" s="152"/>
      <c r="E73" s="152"/>
      <c r="F73" s="152"/>
      <c r="G73" s="152"/>
      <c r="H73" s="152"/>
    </row>
    <row r="74" spans="2:8" ht="15">
      <c r="B74" s="4"/>
      <c r="C74" s="4"/>
      <c r="D74" s="4"/>
      <c r="G74" s="20"/>
      <c r="H74"/>
    </row>
    <row r="75" spans="2:9" ht="15">
      <c r="B75" s="5" t="s">
        <v>0</v>
      </c>
      <c r="C75" s="5" t="s">
        <v>18</v>
      </c>
      <c r="D75" s="5" t="s">
        <v>16</v>
      </c>
      <c r="E75" s="5" t="s">
        <v>24</v>
      </c>
      <c r="F75" s="5" t="s">
        <v>1</v>
      </c>
      <c r="G75" s="5" t="s">
        <v>3</v>
      </c>
      <c r="H75" s="21" t="s">
        <v>6</v>
      </c>
      <c r="I75" s="5" t="s">
        <v>8</v>
      </c>
    </row>
    <row r="76" spans="2:9" ht="15">
      <c r="B76" s="5" t="s">
        <v>38</v>
      </c>
      <c r="C76" s="7">
        <v>55</v>
      </c>
      <c r="D76" s="7"/>
      <c r="E76" s="7"/>
      <c r="F76" s="7"/>
      <c r="G76" s="7"/>
      <c r="H76" s="7"/>
      <c r="I76" s="7"/>
    </row>
    <row r="77" spans="2:9" ht="15">
      <c r="B77" s="19">
        <v>43183</v>
      </c>
      <c r="C77" s="7">
        <v>55</v>
      </c>
      <c r="D77" s="7">
        <v>8</v>
      </c>
      <c r="E77" s="7">
        <f aca="true" t="shared" si="9" ref="E77:E90">C77*106*20</f>
        <v>116600</v>
      </c>
      <c r="F77" s="7">
        <f>D77*20*106</f>
        <v>16960</v>
      </c>
      <c r="G77" s="7">
        <v>0</v>
      </c>
      <c r="H77" s="7"/>
      <c r="I77" s="7">
        <f>F77+I76-G77-H77</f>
        <v>16960</v>
      </c>
    </row>
    <row r="78" spans="2:9" ht="15">
      <c r="B78" s="19">
        <v>43184</v>
      </c>
      <c r="C78" s="7">
        <f>C77-D77</f>
        <v>47</v>
      </c>
      <c r="D78" s="7">
        <v>13</v>
      </c>
      <c r="E78" s="7">
        <f t="shared" si="9"/>
        <v>99640</v>
      </c>
      <c r="F78" s="7">
        <f aca="true" t="shared" si="10" ref="F78:F91">D78*20*106</f>
        <v>27560</v>
      </c>
      <c r="G78" s="20">
        <v>29790</v>
      </c>
      <c r="H78" s="7"/>
      <c r="I78" s="7">
        <f>F78+I77-G78-H78</f>
        <v>14730</v>
      </c>
    </row>
    <row r="79" spans="2:9" ht="15">
      <c r="B79" s="19">
        <v>43185</v>
      </c>
      <c r="C79" s="7">
        <f aca="true" t="shared" si="11" ref="C79:C92">C78-D78</f>
        <v>34</v>
      </c>
      <c r="D79" s="7">
        <v>34</v>
      </c>
      <c r="E79" s="7">
        <f t="shared" si="9"/>
        <v>72080</v>
      </c>
      <c r="F79" s="7">
        <f t="shared" si="10"/>
        <v>72080</v>
      </c>
      <c r="G79" s="7">
        <v>69730</v>
      </c>
      <c r="H79" s="7">
        <v>750</v>
      </c>
      <c r="I79" s="7">
        <f aca="true" t="shared" si="12" ref="I79:I91">F79+I78-G79-H79</f>
        <v>16330</v>
      </c>
    </row>
    <row r="80" spans="2:9" ht="15">
      <c r="B80" s="19">
        <v>43186</v>
      </c>
      <c r="C80" s="7">
        <v>30</v>
      </c>
      <c r="D80" s="7">
        <v>9</v>
      </c>
      <c r="E80" s="7">
        <f t="shared" si="9"/>
        <v>63600</v>
      </c>
      <c r="F80" s="7">
        <f t="shared" si="10"/>
        <v>19080</v>
      </c>
      <c r="G80" s="7"/>
      <c r="H80" s="7">
        <v>450</v>
      </c>
      <c r="I80" s="7">
        <f t="shared" si="12"/>
        <v>34960</v>
      </c>
    </row>
    <row r="81" spans="2:9" ht="15">
      <c r="B81" s="19">
        <v>43187</v>
      </c>
      <c r="C81" s="7">
        <f>C80-D80+40</f>
        <v>61</v>
      </c>
      <c r="D81" s="7">
        <v>10</v>
      </c>
      <c r="E81" s="7">
        <f t="shared" si="9"/>
        <v>129320</v>
      </c>
      <c r="F81" s="7">
        <f t="shared" si="10"/>
        <v>21200</v>
      </c>
      <c r="G81" s="7">
        <v>17814</v>
      </c>
      <c r="H81" s="7">
        <v>100</v>
      </c>
      <c r="I81" s="7">
        <f t="shared" si="12"/>
        <v>38246</v>
      </c>
    </row>
    <row r="82" spans="2:9" ht="15">
      <c r="B82" s="19">
        <v>43188</v>
      </c>
      <c r="C82" s="7">
        <f t="shared" si="11"/>
        <v>51</v>
      </c>
      <c r="D82" s="7">
        <v>8</v>
      </c>
      <c r="E82" s="7">
        <f t="shared" si="9"/>
        <v>108120</v>
      </c>
      <c r="F82" s="7">
        <f t="shared" si="10"/>
        <v>16960</v>
      </c>
      <c r="G82" s="7"/>
      <c r="H82" s="7"/>
      <c r="I82" s="7">
        <f t="shared" si="12"/>
        <v>55206</v>
      </c>
    </row>
    <row r="83" spans="2:9" ht="15">
      <c r="B83" s="19">
        <v>43189</v>
      </c>
      <c r="C83" s="7">
        <f t="shared" si="11"/>
        <v>43</v>
      </c>
      <c r="D83" s="7">
        <v>12</v>
      </c>
      <c r="E83" s="7">
        <f t="shared" si="9"/>
        <v>91160</v>
      </c>
      <c r="F83" s="7">
        <f t="shared" si="10"/>
        <v>25440</v>
      </c>
      <c r="G83" s="7">
        <v>56920</v>
      </c>
      <c r="H83" s="7">
        <v>100</v>
      </c>
      <c r="I83" s="7">
        <f t="shared" si="12"/>
        <v>23626</v>
      </c>
    </row>
    <row r="84" spans="2:9" ht="15">
      <c r="B84" s="19">
        <v>43190</v>
      </c>
      <c r="C84" s="7">
        <f t="shared" si="11"/>
        <v>31</v>
      </c>
      <c r="D84" s="7">
        <v>12</v>
      </c>
      <c r="E84" s="7">
        <f t="shared" si="9"/>
        <v>65720</v>
      </c>
      <c r="F84" s="7">
        <f t="shared" si="10"/>
        <v>25440</v>
      </c>
      <c r="G84" s="7"/>
      <c r="I84" s="7">
        <f t="shared" si="12"/>
        <v>49066</v>
      </c>
    </row>
    <row r="85" spans="2:9" ht="15">
      <c r="B85" s="19">
        <v>43191</v>
      </c>
      <c r="C85" s="7">
        <f>C84-D84+18</f>
        <v>37</v>
      </c>
      <c r="D85" s="7">
        <v>19</v>
      </c>
      <c r="E85" s="7">
        <f t="shared" si="9"/>
        <v>78440</v>
      </c>
      <c r="F85" s="7">
        <f t="shared" si="10"/>
        <v>40280</v>
      </c>
      <c r="G85" s="7"/>
      <c r="H85" s="7"/>
      <c r="I85" s="7">
        <f t="shared" si="12"/>
        <v>89346</v>
      </c>
    </row>
    <row r="86" spans="2:9" ht="15">
      <c r="B86" s="19">
        <v>43192</v>
      </c>
      <c r="C86" s="7">
        <f>C85-D85+45</f>
        <v>63</v>
      </c>
      <c r="D86" s="7">
        <v>18</v>
      </c>
      <c r="E86" s="7">
        <f t="shared" si="9"/>
        <v>133560</v>
      </c>
      <c r="F86" s="7">
        <f t="shared" si="10"/>
        <v>38160</v>
      </c>
      <c r="G86" s="7">
        <v>85274</v>
      </c>
      <c r="H86" s="7">
        <v>5600</v>
      </c>
      <c r="I86" s="7">
        <f t="shared" si="12"/>
        <v>36632</v>
      </c>
    </row>
    <row r="87" spans="2:10" ht="15">
      <c r="B87" s="19">
        <v>43193</v>
      </c>
      <c r="C87" s="7">
        <f t="shared" si="11"/>
        <v>45</v>
      </c>
      <c r="D87" s="7">
        <v>8</v>
      </c>
      <c r="E87" s="7">
        <f t="shared" si="9"/>
        <v>95400</v>
      </c>
      <c r="F87" s="7">
        <f t="shared" si="10"/>
        <v>16960</v>
      </c>
      <c r="G87" s="7">
        <v>37562</v>
      </c>
      <c r="H87" s="7"/>
      <c r="I87" s="7">
        <f t="shared" si="12"/>
        <v>16030</v>
      </c>
      <c r="J87">
        <f>18*2120</f>
        <v>38160</v>
      </c>
    </row>
    <row r="88" spans="2:10" ht="15">
      <c r="B88" s="19">
        <v>43194</v>
      </c>
      <c r="C88" s="7">
        <f t="shared" si="11"/>
        <v>37</v>
      </c>
      <c r="D88" s="7">
        <v>18</v>
      </c>
      <c r="E88" s="7">
        <f t="shared" si="9"/>
        <v>78440</v>
      </c>
      <c r="F88" s="7">
        <f t="shared" si="10"/>
        <v>38160</v>
      </c>
      <c r="G88" s="7">
        <f>54120+458</f>
        <v>54578</v>
      </c>
      <c r="H88" s="7"/>
      <c r="I88" s="7">
        <f t="shared" si="12"/>
        <v>-388</v>
      </c>
      <c r="J88">
        <v>16960</v>
      </c>
    </row>
    <row r="89" spans="2:10" ht="15">
      <c r="B89" s="19">
        <v>43195</v>
      </c>
      <c r="C89" s="7">
        <f>C88-D88+11</f>
        <v>30</v>
      </c>
      <c r="D89" s="7">
        <v>10</v>
      </c>
      <c r="E89" s="7">
        <f t="shared" si="9"/>
        <v>63600</v>
      </c>
      <c r="F89" s="7">
        <f t="shared" si="10"/>
        <v>21200</v>
      </c>
      <c r="G89" s="7">
        <v>21023</v>
      </c>
      <c r="H89" s="7">
        <v>100</v>
      </c>
      <c r="I89" s="7">
        <f t="shared" si="12"/>
        <v>-311</v>
      </c>
      <c r="J89">
        <v>55000</v>
      </c>
    </row>
    <row r="90" spans="2:9" ht="15">
      <c r="B90" s="19">
        <v>43196</v>
      </c>
      <c r="C90" s="7">
        <f t="shared" si="11"/>
        <v>20</v>
      </c>
      <c r="D90" s="7">
        <v>10</v>
      </c>
      <c r="E90" s="7">
        <f t="shared" si="9"/>
        <v>42400</v>
      </c>
      <c r="F90" s="7">
        <f t="shared" si="10"/>
        <v>21200</v>
      </c>
      <c r="G90" s="7"/>
      <c r="H90" s="7"/>
      <c r="I90" s="7">
        <f t="shared" si="12"/>
        <v>20889</v>
      </c>
    </row>
    <row r="91" spans="2:11" ht="15">
      <c r="B91" s="19">
        <v>43197</v>
      </c>
      <c r="C91" s="7">
        <f t="shared" si="11"/>
        <v>10</v>
      </c>
      <c r="D91" s="7">
        <v>10</v>
      </c>
      <c r="E91" s="7"/>
      <c r="F91" s="7">
        <f t="shared" si="10"/>
        <v>21200</v>
      </c>
      <c r="G91" s="7">
        <v>41552</v>
      </c>
      <c r="H91" s="7">
        <v>750</v>
      </c>
      <c r="I91" s="7">
        <f t="shared" si="12"/>
        <v>-213</v>
      </c>
      <c r="K91">
        <v>500</v>
      </c>
    </row>
    <row r="92" spans="2:11" ht="15">
      <c r="B92" s="19">
        <v>43198</v>
      </c>
      <c r="C92" s="7">
        <f t="shared" si="11"/>
        <v>0</v>
      </c>
      <c r="D92" s="7"/>
      <c r="E92" s="7"/>
      <c r="F92" s="7"/>
      <c r="G92" s="7"/>
      <c r="H92" s="7"/>
      <c r="I92" s="7"/>
      <c r="K92">
        <v>100</v>
      </c>
    </row>
    <row r="93" spans="2:11" ht="15">
      <c r="B93" s="19"/>
      <c r="C93" s="7"/>
      <c r="D93" s="7"/>
      <c r="E93" s="7"/>
      <c r="F93" s="7"/>
      <c r="G93" s="7"/>
      <c r="H93" s="7"/>
      <c r="I93" s="7"/>
      <c r="K93">
        <v>150</v>
      </c>
    </row>
    <row r="94" spans="2:9" ht="15">
      <c r="B94" s="19"/>
      <c r="C94" s="7"/>
      <c r="D94" s="7"/>
      <c r="E94" s="6"/>
      <c r="F94" s="6"/>
      <c r="G94" s="6"/>
      <c r="H94" s="7"/>
      <c r="I94" s="6"/>
    </row>
    <row r="95" spans="2:9" ht="15">
      <c r="B95" s="19"/>
      <c r="C95" s="7"/>
      <c r="D95" s="7"/>
      <c r="E95" s="6"/>
      <c r="F95" s="6"/>
      <c r="G95" s="6"/>
      <c r="H95" s="7"/>
      <c r="I95" s="6"/>
    </row>
    <row r="96" spans="2:9" ht="15">
      <c r="B96" s="19"/>
      <c r="C96" s="7"/>
      <c r="D96" s="7"/>
      <c r="E96" s="6"/>
      <c r="F96" s="6"/>
      <c r="G96" s="6"/>
      <c r="H96" s="7"/>
      <c r="I96" s="6"/>
    </row>
    <row r="97" spans="2:9" ht="15">
      <c r="B97" s="19"/>
      <c r="C97" s="7"/>
      <c r="D97" s="7"/>
      <c r="E97" s="6"/>
      <c r="F97" s="6"/>
      <c r="G97" s="6"/>
      <c r="H97" s="7"/>
      <c r="I97" s="6"/>
    </row>
    <row r="98" spans="2:9" ht="15">
      <c r="B98" s="19"/>
      <c r="C98" s="7"/>
      <c r="D98" s="7"/>
      <c r="E98" s="6"/>
      <c r="F98" s="6"/>
      <c r="G98" s="6"/>
      <c r="H98" s="7"/>
      <c r="I98" s="6"/>
    </row>
    <row r="99" spans="2:9" ht="15">
      <c r="B99" s="19"/>
      <c r="C99" s="7"/>
      <c r="D99" s="7"/>
      <c r="E99" s="6"/>
      <c r="F99" s="6"/>
      <c r="G99" s="6"/>
      <c r="H99" s="7"/>
      <c r="I99" s="6"/>
    </row>
    <row r="100" spans="2:9" ht="15">
      <c r="B100" s="19"/>
      <c r="C100" s="7"/>
      <c r="D100" s="7"/>
      <c r="E100" s="6"/>
      <c r="F100" s="6"/>
      <c r="G100" s="6"/>
      <c r="H100" s="7"/>
      <c r="I100" s="6"/>
    </row>
    <row r="101" spans="2:9" ht="15">
      <c r="B101" s="6"/>
      <c r="C101" s="7"/>
      <c r="D101" s="7"/>
      <c r="E101" s="6"/>
      <c r="F101" s="6"/>
      <c r="G101" s="6"/>
      <c r="H101" s="7"/>
      <c r="I101" s="6"/>
    </row>
    <row r="102" spans="2:9" ht="15">
      <c r="B102" s="13"/>
      <c r="C102" s="11"/>
      <c r="D102" s="11">
        <f>SUM(D77:D91)</f>
        <v>199</v>
      </c>
      <c r="E102" s="13"/>
      <c r="F102" s="22">
        <f>SUM(F77:F101)</f>
        <v>421880</v>
      </c>
      <c r="G102" s="22">
        <f>SUM(G77:G101)</f>
        <v>414243</v>
      </c>
      <c r="H102" s="22">
        <f>SUM(H77:H101)</f>
        <v>7850</v>
      </c>
      <c r="I102" s="13"/>
    </row>
    <row r="105" spans="5:9" ht="15">
      <c r="E105" s="20"/>
      <c r="H105"/>
      <c r="I105" s="20"/>
    </row>
    <row r="106" spans="2:9" ht="15">
      <c r="B106" s="152" t="s">
        <v>41</v>
      </c>
      <c r="C106" s="152"/>
      <c r="D106" s="152"/>
      <c r="E106" s="152"/>
      <c r="F106" s="152"/>
      <c r="G106" s="152"/>
      <c r="H106" s="152"/>
      <c r="I106" s="152"/>
    </row>
    <row r="107" spans="3:5" ht="15">
      <c r="C107" s="4"/>
      <c r="D107" s="4"/>
      <c r="E107" s="4"/>
    </row>
    <row r="108" spans="2:11" ht="15">
      <c r="B108" s="5" t="s">
        <v>0</v>
      </c>
      <c r="C108" s="5" t="s">
        <v>18</v>
      </c>
      <c r="D108" s="5" t="s">
        <v>16</v>
      </c>
      <c r="E108" s="5" t="s">
        <v>24</v>
      </c>
      <c r="F108" s="5" t="s">
        <v>1</v>
      </c>
      <c r="G108" s="5" t="s">
        <v>3</v>
      </c>
      <c r="H108" s="21" t="s">
        <v>6</v>
      </c>
      <c r="I108" s="5" t="s">
        <v>8</v>
      </c>
      <c r="K108" s="58" t="s">
        <v>43</v>
      </c>
    </row>
    <row r="109" spans="2:9" ht="15">
      <c r="B109" s="5" t="s">
        <v>42</v>
      </c>
      <c r="C109" s="7">
        <v>0</v>
      </c>
      <c r="D109" s="7"/>
      <c r="E109" s="7"/>
      <c r="F109" s="7"/>
      <c r="G109" s="7"/>
      <c r="H109" s="7"/>
      <c r="I109" s="7"/>
    </row>
    <row r="110" spans="2:9" ht="15">
      <c r="B110" s="19">
        <v>43198</v>
      </c>
      <c r="C110" s="7"/>
      <c r="D110" s="7"/>
      <c r="E110" s="7"/>
      <c r="F110" s="7"/>
      <c r="G110" s="7"/>
      <c r="H110" s="7">
        <f>250+150+1000</f>
        <v>1400</v>
      </c>
      <c r="I110" s="7"/>
    </row>
    <row r="111" spans="2:10" ht="15">
      <c r="B111" s="19">
        <v>43199</v>
      </c>
      <c r="C111" s="7">
        <v>50</v>
      </c>
      <c r="D111" s="7">
        <v>19</v>
      </c>
      <c r="E111" s="7">
        <f aca="true" t="shared" si="13" ref="E111:E117">C111*106*20</f>
        <v>106000</v>
      </c>
      <c r="F111" s="7">
        <f>D111*20*106</f>
        <v>40280</v>
      </c>
      <c r="G111" s="7">
        <f>37959+1887</f>
        <v>39846</v>
      </c>
      <c r="H111" s="7">
        <v>200</v>
      </c>
      <c r="I111" s="7">
        <f>G111</f>
        <v>39846</v>
      </c>
      <c r="J111" s="20">
        <f>F111-G111-H111</f>
        <v>234</v>
      </c>
    </row>
    <row r="112" spans="2:13" ht="15">
      <c r="B112" s="19">
        <v>43200</v>
      </c>
      <c r="C112" s="7">
        <f>C111-D111+60</f>
        <v>91</v>
      </c>
      <c r="D112" s="7">
        <v>16</v>
      </c>
      <c r="E112" s="7">
        <f t="shared" si="13"/>
        <v>192920</v>
      </c>
      <c r="F112" s="7">
        <f aca="true" t="shared" si="14" ref="F112:F117">D112*20*106</f>
        <v>33920</v>
      </c>
      <c r="G112" s="20">
        <v>33593</v>
      </c>
      <c r="H112" s="7">
        <f>600+150+200</f>
        <v>950</v>
      </c>
      <c r="I112" s="7">
        <f>I111+G112</f>
        <v>73439</v>
      </c>
      <c r="J112" s="20">
        <f>J111+F112-G112-H112</f>
        <v>-389</v>
      </c>
      <c r="M112">
        <f>19*2120</f>
        <v>40280</v>
      </c>
    </row>
    <row r="113" spans="2:12" ht="15">
      <c r="B113" s="19">
        <v>43201</v>
      </c>
      <c r="C113" s="7">
        <f aca="true" t="shared" si="15" ref="C113:C124">C112-D112</f>
        <v>75</v>
      </c>
      <c r="D113" s="7">
        <v>9</v>
      </c>
      <c r="E113" s="7">
        <f t="shared" si="13"/>
        <v>159000</v>
      </c>
      <c r="F113" s="7">
        <f t="shared" si="14"/>
        <v>19080</v>
      </c>
      <c r="G113" s="7">
        <v>18914</v>
      </c>
      <c r="H113" s="7">
        <v>100</v>
      </c>
      <c r="I113" s="7">
        <f aca="true" t="shared" si="16" ref="I113:I124">I112+G113</f>
        <v>92353</v>
      </c>
      <c r="J113" s="20">
        <f aca="true" t="shared" si="17" ref="J113:J124">J112+F113-G113-H113</f>
        <v>-323</v>
      </c>
      <c r="K113">
        <v>66</v>
      </c>
      <c r="L113" s="20">
        <f>G111+G112</f>
        <v>73439</v>
      </c>
    </row>
    <row r="114" spans="2:10" ht="15">
      <c r="B114" s="19">
        <v>43202</v>
      </c>
      <c r="C114" s="7">
        <f t="shared" si="15"/>
        <v>66</v>
      </c>
      <c r="D114" s="7">
        <v>6</v>
      </c>
      <c r="E114" s="7">
        <f t="shared" si="13"/>
        <v>139920</v>
      </c>
      <c r="F114" s="7">
        <f t="shared" si="14"/>
        <v>12720</v>
      </c>
      <c r="G114" s="7">
        <v>0</v>
      </c>
      <c r="H114" s="7">
        <v>0</v>
      </c>
      <c r="I114" s="7">
        <f t="shared" si="16"/>
        <v>92353</v>
      </c>
      <c r="J114" s="20">
        <f t="shared" si="17"/>
        <v>12397</v>
      </c>
    </row>
    <row r="115" spans="2:10" ht="15">
      <c r="B115" s="19">
        <v>43203</v>
      </c>
      <c r="C115" s="7">
        <f t="shared" si="15"/>
        <v>60</v>
      </c>
      <c r="D115" s="7">
        <v>6</v>
      </c>
      <c r="E115" s="7">
        <f t="shared" si="13"/>
        <v>127200</v>
      </c>
      <c r="F115" s="7">
        <f t="shared" si="14"/>
        <v>12720</v>
      </c>
      <c r="G115" s="7">
        <v>12654</v>
      </c>
      <c r="H115" s="7">
        <v>100</v>
      </c>
      <c r="I115" s="7">
        <f t="shared" si="16"/>
        <v>105007</v>
      </c>
      <c r="J115" s="20">
        <f t="shared" si="17"/>
        <v>12363</v>
      </c>
    </row>
    <row r="116" spans="2:10" ht="15">
      <c r="B116" s="19">
        <v>43204</v>
      </c>
      <c r="C116" s="7">
        <f t="shared" si="15"/>
        <v>54</v>
      </c>
      <c r="D116" s="7">
        <v>4</v>
      </c>
      <c r="E116" s="7">
        <f t="shared" si="13"/>
        <v>114480</v>
      </c>
      <c r="F116" s="7">
        <f t="shared" si="14"/>
        <v>8480</v>
      </c>
      <c r="G116" s="7"/>
      <c r="H116" s="7"/>
      <c r="I116" s="7">
        <f t="shared" si="16"/>
        <v>105007</v>
      </c>
      <c r="J116" s="20">
        <f t="shared" si="17"/>
        <v>20843</v>
      </c>
    </row>
    <row r="117" spans="2:10" ht="15">
      <c r="B117" s="19">
        <v>43205</v>
      </c>
      <c r="C117" s="7">
        <f t="shared" si="15"/>
        <v>50</v>
      </c>
      <c r="D117" s="7">
        <v>5</v>
      </c>
      <c r="E117" s="7">
        <f t="shared" si="13"/>
        <v>106000</v>
      </c>
      <c r="F117" s="7">
        <f t="shared" si="14"/>
        <v>10600</v>
      </c>
      <c r="G117" s="7"/>
      <c r="H117" s="7">
        <v>200</v>
      </c>
      <c r="I117" s="7">
        <f t="shared" si="16"/>
        <v>105007</v>
      </c>
      <c r="J117" s="20">
        <f t="shared" si="17"/>
        <v>31243</v>
      </c>
    </row>
    <row r="118" spans="2:11" ht="15">
      <c r="B118" s="19">
        <v>43206</v>
      </c>
      <c r="C118" s="7">
        <f t="shared" si="15"/>
        <v>45</v>
      </c>
      <c r="D118" s="7">
        <v>25</v>
      </c>
      <c r="E118" s="7">
        <f aca="true" t="shared" si="18" ref="E118:E123">C118*105*20</f>
        <v>94500</v>
      </c>
      <c r="F118" s="7">
        <f aca="true" t="shared" si="19" ref="F118:F123">D118*20*105</f>
        <v>52500</v>
      </c>
      <c r="G118" s="7">
        <v>33688</v>
      </c>
      <c r="H118" s="20">
        <v>200</v>
      </c>
      <c r="I118" s="7">
        <f t="shared" si="16"/>
        <v>138695</v>
      </c>
      <c r="J118" s="20">
        <f t="shared" si="17"/>
        <v>49855</v>
      </c>
      <c r="K118" s="20">
        <f>G122+G121+G120+G118+G115+G113+G111+G112</f>
        <v>233299</v>
      </c>
    </row>
    <row r="119" spans="2:13" ht="15">
      <c r="B119" s="19">
        <v>43207</v>
      </c>
      <c r="C119" s="7">
        <f>C118-D118+12</f>
        <v>32</v>
      </c>
      <c r="D119" s="7">
        <v>5</v>
      </c>
      <c r="E119" s="7">
        <f t="shared" si="18"/>
        <v>67200</v>
      </c>
      <c r="F119" s="7">
        <f t="shared" si="19"/>
        <v>10500</v>
      </c>
      <c r="G119" s="7">
        <v>10000</v>
      </c>
      <c r="H119" s="7">
        <v>2300</v>
      </c>
      <c r="I119" s="7">
        <f t="shared" si="16"/>
        <v>148695</v>
      </c>
      <c r="J119" s="20">
        <f t="shared" si="17"/>
        <v>48055</v>
      </c>
      <c r="M119">
        <v>50000</v>
      </c>
    </row>
    <row r="120" spans="2:13" ht="15">
      <c r="B120" s="19">
        <v>43208</v>
      </c>
      <c r="C120" s="7">
        <f>C119-D119+40</f>
        <v>67</v>
      </c>
      <c r="D120" s="7">
        <v>9</v>
      </c>
      <c r="E120" s="7">
        <f t="shared" si="18"/>
        <v>140700</v>
      </c>
      <c r="F120" s="7">
        <f t="shared" si="19"/>
        <v>18900</v>
      </c>
      <c r="G120" s="7">
        <v>55590</v>
      </c>
      <c r="H120" s="7">
        <f>100+100+150+500</f>
        <v>850</v>
      </c>
      <c r="I120" s="7">
        <f t="shared" si="16"/>
        <v>204285</v>
      </c>
      <c r="J120" s="20">
        <f t="shared" si="17"/>
        <v>10515</v>
      </c>
      <c r="M120">
        <v>79550</v>
      </c>
    </row>
    <row r="121" spans="2:13" ht="15">
      <c r="B121" s="19">
        <v>43209</v>
      </c>
      <c r="C121" s="7">
        <f t="shared" si="15"/>
        <v>58</v>
      </c>
      <c r="D121" s="7">
        <v>7</v>
      </c>
      <c r="E121" s="7">
        <f t="shared" si="18"/>
        <v>121800</v>
      </c>
      <c r="F121" s="7">
        <f t="shared" si="19"/>
        <v>14700</v>
      </c>
      <c r="G121" s="7">
        <v>27440</v>
      </c>
      <c r="H121" s="7"/>
      <c r="I121" s="7">
        <f t="shared" si="16"/>
        <v>231725</v>
      </c>
      <c r="J121" s="20">
        <f t="shared" si="17"/>
        <v>-2225</v>
      </c>
      <c r="M121" s="20">
        <v>27425</v>
      </c>
    </row>
    <row r="122" spans="2:10" ht="15">
      <c r="B122" s="19">
        <v>43210</v>
      </c>
      <c r="C122" s="7">
        <f t="shared" si="15"/>
        <v>51</v>
      </c>
      <c r="D122" s="7">
        <v>8</v>
      </c>
      <c r="E122" s="7">
        <f t="shared" si="18"/>
        <v>107100</v>
      </c>
      <c r="F122" s="7">
        <f t="shared" si="19"/>
        <v>16800</v>
      </c>
      <c r="G122" s="7">
        <v>11574</v>
      </c>
      <c r="H122" s="7">
        <v>100</v>
      </c>
      <c r="I122" s="7">
        <f t="shared" si="16"/>
        <v>243299</v>
      </c>
      <c r="J122" s="20">
        <f t="shared" si="17"/>
        <v>2901</v>
      </c>
    </row>
    <row r="123" spans="2:10" ht="15">
      <c r="B123" s="19">
        <v>43211</v>
      </c>
      <c r="C123" s="7">
        <f t="shared" si="15"/>
        <v>43</v>
      </c>
      <c r="D123" s="7">
        <v>10</v>
      </c>
      <c r="E123" s="7">
        <f t="shared" si="18"/>
        <v>90300</v>
      </c>
      <c r="F123" s="7">
        <f t="shared" si="19"/>
        <v>21000</v>
      </c>
      <c r="G123" s="7">
        <v>5000</v>
      </c>
      <c r="H123" s="7"/>
      <c r="I123" s="7">
        <f t="shared" si="16"/>
        <v>248299</v>
      </c>
      <c r="J123" s="20">
        <f t="shared" si="17"/>
        <v>18901</v>
      </c>
    </row>
    <row r="124" spans="2:10" ht="15">
      <c r="B124" s="19"/>
      <c r="C124" s="7">
        <f t="shared" si="15"/>
        <v>33</v>
      </c>
      <c r="D124" s="7"/>
      <c r="E124" s="7"/>
      <c r="F124" s="7"/>
      <c r="G124" s="7">
        <v>20900</v>
      </c>
      <c r="H124" s="7">
        <v>100</v>
      </c>
      <c r="I124" s="7">
        <f t="shared" si="16"/>
        <v>269199</v>
      </c>
      <c r="J124" s="20">
        <f t="shared" si="17"/>
        <v>-2099</v>
      </c>
    </row>
    <row r="125" spans="2:10" ht="15">
      <c r="B125" s="19"/>
      <c r="C125" s="7"/>
      <c r="D125" s="7"/>
      <c r="E125" s="7"/>
      <c r="F125" s="7"/>
      <c r="G125" s="7"/>
      <c r="H125" s="7"/>
      <c r="I125" s="7"/>
      <c r="J125" s="20"/>
    </row>
    <row r="126" spans="2:9" ht="15">
      <c r="B126" s="13"/>
      <c r="C126" s="11"/>
      <c r="D126" s="11">
        <f>SUM(D111:D123)</f>
        <v>129</v>
      </c>
      <c r="E126" s="13"/>
      <c r="F126" s="22">
        <f>SUM(F111:F123)</f>
        <v>272200</v>
      </c>
      <c r="G126" s="22">
        <f>SUM(G111:G124)</f>
        <v>269199</v>
      </c>
      <c r="H126" s="22">
        <f>SUM(H110:H123)</f>
        <v>6400</v>
      </c>
      <c r="I126" s="13"/>
    </row>
    <row r="130" spans="5:9" ht="15">
      <c r="E130" s="20"/>
      <c r="H130"/>
      <c r="I130" s="20"/>
    </row>
    <row r="131" spans="2:9" ht="15">
      <c r="B131" s="152" t="s">
        <v>46</v>
      </c>
      <c r="C131" s="152"/>
      <c r="D131" s="152"/>
      <c r="E131" s="152"/>
      <c r="F131" s="152"/>
      <c r="G131" s="152"/>
      <c r="H131" s="152"/>
      <c r="I131" s="152"/>
    </row>
    <row r="132" spans="3:5" ht="15">
      <c r="C132" s="4"/>
      <c r="D132" s="4"/>
      <c r="E132" s="4"/>
    </row>
    <row r="133" spans="2:9" ht="15">
      <c r="B133" s="5" t="s">
        <v>0</v>
      </c>
      <c r="C133" s="5" t="s">
        <v>18</v>
      </c>
      <c r="D133" s="5" t="s">
        <v>16</v>
      </c>
      <c r="E133" s="5" t="s">
        <v>24</v>
      </c>
      <c r="F133" s="5" t="s">
        <v>1</v>
      </c>
      <c r="G133" s="5" t="s">
        <v>3</v>
      </c>
      <c r="H133" s="21" t="s">
        <v>6</v>
      </c>
      <c r="I133" s="5" t="s">
        <v>8</v>
      </c>
    </row>
    <row r="134" spans="2:9" ht="15">
      <c r="B134" s="5" t="s">
        <v>47</v>
      </c>
      <c r="C134" s="7">
        <v>33</v>
      </c>
      <c r="D134" s="7"/>
      <c r="E134" s="7">
        <f>C134*20*104</f>
        <v>68640</v>
      </c>
      <c r="F134" s="7"/>
      <c r="G134" s="7"/>
      <c r="H134" s="7"/>
      <c r="I134" s="7"/>
    </row>
    <row r="135" spans="2:9" ht="15">
      <c r="B135" s="19">
        <v>43212</v>
      </c>
      <c r="C135" s="7">
        <f>C134+19</f>
        <v>52</v>
      </c>
      <c r="D135" s="7">
        <v>8</v>
      </c>
      <c r="E135" s="7">
        <f aca="true" t="shared" si="20" ref="E135:E147">C135*20*104</f>
        <v>108160</v>
      </c>
      <c r="F135" s="7">
        <f>D135*20*104</f>
        <v>16640</v>
      </c>
      <c r="G135" s="7">
        <v>16234</v>
      </c>
      <c r="H135" s="7">
        <v>0</v>
      </c>
      <c r="I135" s="7">
        <f>F135-G135-H135</f>
        <v>406</v>
      </c>
    </row>
    <row r="136" spans="2:10" ht="15">
      <c r="B136" s="19">
        <v>43213</v>
      </c>
      <c r="C136" s="7">
        <f>C135-D135+30</f>
        <v>74</v>
      </c>
      <c r="D136" s="7">
        <v>27</v>
      </c>
      <c r="E136" s="7">
        <f t="shared" si="20"/>
        <v>153920</v>
      </c>
      <c r="F136" s="7">
        <f aca="true" t="shared" si="21" ref="F136:F149">D136*20*104</f>
        <v>56160</v>
      </c>
      <c r="G136" s="7">
        <v>55539</v>
      </c>
      <c r="H136" s="7">
        <v>900</v>
      </c>
      <c r="I136" s="7">
        <f>I135+F136-G136-H136</f>
        <v>127</v>
      </c>
      <c r="J136" s="20"/>
    </row>
    <row r="137" spans="2:10" ht="15">
      <c r="B137" s="19">
        <v>43214</v>
      </c>
      <c r="C137" s="7">
        <f>C136-D136</f>
        <v>47</v>
      </c>
      <c r="D137" s="7">
        <v>12</v>
      </c>
      <c r="E137" s="7">
        <f t="shared" si="20"/>
        <v>97760</v>
      </c>
      <c r="F137" s="7">
        <f t="shared" si="21"/>
        <v>24960</v>
      </c>
      <c r="G137" s="20">
        <v>24750</v>
      </c>
      <c r="H137" s="7">
        <v>100</v>
      </c>
      <c r="I137" s="7">
        <f aca="true" t="shared" si="22" ref="I137:I150">I136+F137-G137-H137</f>
        <v>237</v>
      </c>
      <c r="J137" s="20" t="s">
        <v>56</v>
      </c>
    </row>
    <row r="138" spans="2:10" ht="15">
      <c r="B138" s="19">
        <v>43215</v>
      </c>
      <c r="C138" s="7">
        <f>C137-D137</f>
        <v>35</v>
      </c>
      <c r="D138" s="7">
        <v>10</v>
      </c>
      <c r="E138" s="7">
        <f t="shared" si="20"/>
        <v>72800</v>
      </c>
      <c r="F138" s="7">
        <f t="shared" si="21"/>
        <v>20800</v>
      </c>
      <c r="G138" s="7">
        <v>20223</v>
      </c>
      <c r="H138" s="7">
        <v>500</v>
      </c>
      <c r="I138" s="7">
        <f t="shared" si="22"/>
        <v>314</v>
      </c>
      <c r="J138" s="20"/>
    </row>
    <row r="139" spans="2:10" ht="15">
      <c r="B139" s="19">
        <v>43216</v>
      </c>
      <c r="C139" s="7">
        <f>(C138-D138)+50</f>
        <v>75</v>
      </c>
      <c r="D139" s="7">
        <v>19</v>
      </c>
      <c r="E139" s="7">
        <f t="shared" si="20"/>
        <v>156000</v>
      </c>
      <c r="F139" s="7">
        <f t="shared" si="21"/>
        <v>39520</v>
      </c>
      <c r="G139" s="7">
        <f>16640+22553</f>
        <v>39193</v>
      </c>
      <c r="H139" s="7">
        <v>250</v>
      </c>
      <c r="I139" s="7">
        <f t="shared" si="22"/>
        <v>391</v>
      </c>
      <c r="J139" s="20"/>
    </row>
    <row r="140" spans="2:10" ht="15">
      <c r="B140" s="19">
        <v>43217</v>
      </c>
      <c r="C140" s="7">
        <f>C139-D139</f>
        <v>56</v>
      </c>
      <c r="D140" s="7">
        <v>8</v>
      </c>
      <c r="E140" s="7">
        <f t="shared" si="20"/>
        <v>116480</v>
      </c>
      <c r="F140" s="7">
        <f t="shared" si="21"/>
        <v>16640</v>
      </c>
      <c r="G140" s="7">
        <v>16574</v>
      </c>
      <c r="H140" s="7"/>
      <c r="I140" s="7">
        <f t="shared" si="22"/>
        <v>457</v>
      </c>
      <c r="J140" s="20"/>
    </row>
    <row r="141" spans="2:10" ht="15">
      <c r="B141" s="19">
        <v>43218</v>
      </c>
      <c r="C141" s="7">
        <f aca="true" t="shared" si="23" ref="C141:C147">C140-D140</f>
        <v>48</v>
      </c>
      <c r="D141" s="7">
        <v>7</v>
      </c>
      <c r="E141" s="7">
        <f t="shared" si="20"/>
        <v>99840</v>
      </c>
      <c r="F141" s="7">
        <f t="shared" si="21"/>
        <v>14560</v>
      </c>
      <c r="G141" s="7">
        <v>14474</v>
      </c>
      <c r="H141" s="7"/>
      <c r="I141" s="7">
        <f>I140+F141-G141-H141</f>
        <v>543</v>
      </c>
      <c r="J141" s="20"/>
    </row>
    <row r="142" spans="2:10" ht="15">
      <c r="B142" s="19">
        <v>43219</v>
      </c>
      <c r="C142" s="7">
        <f t="shared" si="23"/>
        <v>41</v>
      </c>
      <c r="D142" s="7">
        <v>9</v>
      </c>
      <c r="E142" s="7">
        <f t="shared" si="20"/>
        <v>85280</v>
      </c>
      <c r="F142" s="7">
        <f t="shared" si="21"/>
        <v>18720</v>
      </c>
      <c r="G142" s="7">
        <v>18554</v>
      </c>
      <c r="H142" s="7">
        <v>100</v>
      </c>
      <c r="I142" s="7">
        <f>I141+F142-G142-H142</f>
        <v>609</v>
      </c>
      <c r="J142" s="20"/>
    </row>
    <row r="143" spans="2:10" ht="15">
      <c r="B143" s="19">
        <v>43220</v>
      </c>
      <c r="C143" s="7">
        <f t="shared" si="23"/>
        <v>32</v>
      </c>
      <c r="D143" s="7">
        <v>24</v>
      </c>
      <c r="E143" s="7">
        <f t="shared" si="20"/>
        <v>66560</v>
      </c>
      <c r="F143" s="7">
        <f t="shared" si="21"/>
        <v>49920</v>
      </c>
      <c r="G143" s="7">
        <v>0</v>
      </c>
      <c r="H143" s="20">
        <f>1700+300</f>
        <v>2000</v>
      </c>
      <c r="I143" s="7">
        <f t="shared" si="22"/>
        <v>48529</v>
      </c>
      <c r="J143" s="20"/>
    </row>
    <row r="144" spans="2:10" ht="15">
      <c r="B144" s="19">
        <v>43221</v>
      </c>
      <c r="C144" s="7">
        <f>C143-D143+16</f>
        <v>24</v>
      </c>
      <c r="D144" s="7">
        <v>2</v>
      </c>
      <c r="E144" s="7">
        <f t="shared" si="20"/>
        <v>49920</v>
      </c>
      <c r="F144" s="7">
        <f t="shared" si="21"/>
        <v>4160</v>
      </c>
      <c r="G144" s="7">
        <v>0</v>
      </c>
      <c r="H144" s="7"/>
      <c r="I144" s="7">
        <f t="shared" si="22"/>
        <v>52689</v>
      </c>
      <c r="J144" s="20"/>
    </row>
    <row r="145" spans="2:10" ht="15">
      <c r="B145" s="19">
        <v>43222</v>
      </c>
      <c r="C145" s="7">
        <f>C144-D144+15</f>
        <v>37</v>
      </c>
      <c r="D145" s="7">
        <v>16</v>
      </c>
      <c r="E145" s="7">
        <f t="shared" si="20"/>
        <v>76960</v>
      </c>
      <c r="F145" s="7">
        <f t="shared" si="21"/>
        <v>33280</v>
      </c>
      <c r="G145" s="7">
        <v>51350</v>
      </c>
      <c r="H145" s="7">
        <v>200</v>
      </c>
      <c r="I145" s="7">
        <f t="shared" si="22"/>
        <v>34419</v>
      </c>
      <c r="J145" s="20"/>
    </row>
    <row r="146" spans="2:12" ht="15">
      <c r="B146" s="19">
        <v>43223</v>
      </c>
      <c r="C146" s="7">
        <f t="shared" si="23"/>
        <v>21</v>
      </c>
      <c r="D146" s="7">
        <v>7</v>
      </c>
      <c r="E146" s="7">
        <f t="shared" si="20"/>
        <v>43680</v>
      </c>
      <c r="F146" s="7">
        <f t="shared" si="21"/>
        <v>14560</v>
      </c>
      <c r="G146" s="7">
        <v>35519</v>
      </c>
      <c r="H146" s="7">
        <v>500</v>
      </c>
      <c r="I146" s="7">
        <f t="shared" si="22"/>
        <v>12960</v>
      </c>
      <c r="J146" s="20"/>
      <c r="K146" s="20">
        <f>52961-G146</f>
        <v>17442</v>
      </c>
      <c r="L146" s="20">
        <f>G146-F145</f>
        <v>2239</v>
      </c>
    </row>
    <row r="147" spans="2:10" ht="15">
      <c r="B147" s="19">
        <v>43224</v>
      </c>
      <c r="C147" s="7">
        <f t="shared" si="23"/>
        <v>14</v>
      </c>
      <c r="D147" s="7">
        <v>7</v>
      </c>
      <c r="E147" s="7">
        <f t="shared" si="20"/>
        <v>29120</v>
      </c>
      <c r="F147" s="7">
        <f t="shared" si="21"/>
        <v>14560</v>
      </c>
      <c r="G147" s="7">
        <v>6230</v>
      </c>
      <c r="H147" s="7"/>
      <c r="I147" s="7">
        <f t="shared" si="22"/>
        <v>21290</v>
      </c>
      <c r="J147" s="20"/>
    </row>
    <row r="148" spans="2:12" ht="15">
      <c r="B148" s="19">
        <v>43225</v>
      </c>
      <c r="C148" s="7">
        <f>C147-D147+20</f>
        <v>27</v>
      </c>
      <c r="D148" s="7">
        <v>16</v>
      </c>
      <c r="E148" s="7"/>
      <c r="F148" s="7">
        <f t="shared" si="21"/>
        <v>33280</v>
      </c>
      <c r="G148" s="7">
        <v>10051</v>
      </c>
      <c r="H148" s="7">
        <v>200</v>
      </c>
      <c r="I148" s="7">
        <f t="shared" si="22"/>
        <v>44319</v>
      </c>
      <c r="J148" s="20"/>
      <c r="K148">
        <f>14560-6230</f>
        <v>8330</v>
      </c>
      <c r="L148" s="20">
        <f>K148-L146-500</f>
        <v>5591</v>
      </c>
    </row>
    <row r="149" spans="2:12" ht="15">
      <c r="B149" s="19">
        <v>43226</v>
      </c>
      <c r="C149" s="7">
        <f>C148-D148</f>
        <v>11</v>
      </c>
      <c r="D149" s="7">
        <v>6</v>
      </c>
      <c r="E149" s="7"/>
      <c r="F149" s="7">
        <f t="shared" si="21"/>
        <v>12480</v>
      </c>
      <c r="G149" s="7">
        <f>10600+12480</f>
        <v>23080</v>
      </c>
      <c r="H149" s="7">
        <v>4000</v>
      </c>
      <c r="I149" s="7">
        <f t="shared" si="22"/>
        <v>29719</v>
      </c>
      <c r="J149" s="20"/>
      <c r="L149" s="20"/>
    </row>
    <row r="150" spans="2:10" ht="15">
      <c r="B150" s="19"/>
      <c r="C150" s="7"/>
      <c r="D150" s="7"/>
      <c r="E150" s="7"/>
      <c r="F150" s="7"/>
      <c r="G150" s="7">
        <f>24529+5190</f>
        <v>29719</v>
      </c>
      <c r="H150" s="7"/>
      <c r="I150" s="7">
        <f t="shared" si="22"/>
        <v>0</v>
      </c>
      <c r="J150" s="20"/>
    </row>
    <row r="151" spans="2:9" ht="15">
      <c r="B151" s="13"/>
      <c r="C151" s="11"/>
      <c r="D151" s="11">
        <f>SUM(D135:D149)</f>
        <v>178</v>
      </c>
      <c r="E151" s="11"/>
      <c r="F151" s="11">
        <f>SUM(F135:F149)</f>
        <v>370240</v>
      </c>
      <c r="G151" s="11">
        <f>SUM(G135:G150)</f>
        <v>361490</v>
      </c>
      <c r="H151" s="11">
        <f>SUM(H135:H150)</f>
        <v>8750</v>
      </c>
      <c r="I151" s="13"/>
    </row>
    <row r="153" ht="15">
      <c r="F153" s="20"/>
    </row>
    <row r="154" spans="2:9" ht="15">
      <c r="B154" s="152" t="s">
        <v>58</v>
      </c>
      <c r="C154" s="152"/>
      <c r="D154" s="152"/>
      <c r="E154" s="152"/>
      <c r="F154" s="152"/>
      <c r="G154" s="152"/>
      <c r="H154" s="152"/>
      <c r="I154" s="152"/>
    </row>
    <row r="155" spans="3:5" ht="15">
      <c r="C155" s="4"/>
      <c r="D155" s="4"/>
      <c r="E155" s="4"/>
    </row>
    <row r="156" spans="2:9" ht="15">
      <c r="B156" s="5" t="s">
        <v>0</v>
      </c>
      <c r="C156" s="5" t="s">
        <v>18</v>
      </c>
      <c r="D156" s="5" t="s">
        <v>16</v>
      </c>
      <c r="E156" s="5" t="s">
        <v>24</v>
      </c>
      <c r="F156" s="5" t="s">
        <v>1</v>
      </c>
      <c r="G156" s="5" t="s">
        <v>3</v>
      </c>
      <c r="H156" s="21" t="s">
        <v>6</v>
      </c>
      <c r="I156" s="5" t="s">
        <v>8</v>
      </c>
    </row>
    <row r="157" spans="2:9" ht="15">
      <c r="B157" s="5" t="s">
        <v>59</v>
      </c>
      <c r="C157" s="7">
        <v>5</v>
      </c>
      <c r="D157" s="7">
        <v>5</v>
      </c>
      <c r="E157" s="7">
        <f>C157*20*104</f>
        <v>10400</v>
      </c>
      <c r="F157" s="7">
        <f>D157*20*104</f>
        <v>10400</v>
      </c>
      <c r="G157" s="7"/>
      <c r="H157" s="7"/>
      <c r="I157" s="7">
        <f>F157</f>
        <v>10400</v>
      </c>
    </row>
    <row r="158" spans="2:9" ht="15">
      <c r="B158" s="5"/>
      <c r="C158" s="7">
        <f>C157-D157</f>
        <v>0</v>
      </c>
      <c r="D158" s="7"/>
      <c r="E158" s="7"/>
      <c r="F158" s="7"/>
      <c r="G158" s="7"/>
      <c r="H158" s="7"/>
      <c r="I158" s="7">
        <f>I157</f>
        <v>10400</v>
      </c>
    </row>
    <row r="159" spans="2:9" ht="15">
      <c r="B159" s="19">
        <v>43226</v>
      </c>
      <c r="C159" s="7">
        <v>35</v>
      </c>
      <c r="D159" s="7">
        <v>16</v>
      </c>
      <c r="E159" s="7">
        <f aca="true" t="shared" si="24" ref="E159:E171">C159*20*104</f>
        <v>72800</v>
      </c>
      <c r="F159" s="7">
        <f>D159*20*104</f>
        <v>33280</v>
      </c>
      <c r="G159" s="7">
        <f>35460-5190+10600</f>
        <v>40870</v>
      </c>
      <c r="H159" s="7">
        <v>700</v>
      </c>
      <c r="I159" s="7">
        <f aca="true" t="shared" si="25" ref="I159:I166">I158+F159-G159-H159</f>
        <v>2110</v>
      </c>
    </row>
    <row r="160" spans="2:9" ht="15">
      <c r="B160" s="19">
        <v>43227</v>
      </c>
      <c r="C160" s="7">
        <f>C159-D159+30</f>
        <v>49</v>
      </c>
      <c r="D160" s="7">
        <v>23</v>
      </c>
      <c r="E160" s="7">
        <f t="shared" si="24"/>
        <v>101920</v>
      </c>
      <c r="F160" s="7">
        <f aca="true" t="shared" si="26" ref="F160:F171">D160*20*104</f>
        <v>47840</v>
      </c>
      <c r="G160" s="7">
        <v>10000</v>
      </c>
      <c r="H160" s="7">
        <v>300</v>
      </c>
      <c r="I160" s="7">
        <f t="shared" si="25"/>
        <v>39650</v>
      </c>
    </row>
    <row r="161" spans="2:9" ht="15">
      <c r="B161" s="19">
        <v>43228</v>
      </c>
      <c r="C161" s="7">
        <f aca="true" t="shared" si="27" ref="C161:C171">C160-D160</f>
        <v>26</v>
      </c>
      <c r="D161" s="7">
        <v>22</v>
      </c>
      <c r="E161" s="7">
        <f t="shared" si="24"/>
        <v>54080</v>
      </c>
      <c r="F161" s="7">
        <f t="shared" si="26"/>
        <v>45760</v>
      </c>
      <c r="G161" s="20">
        <v>82400</v>
      </c>
      <c r="H161" s="7">
        <v>800</v>
      </c>
      <c r="I161" s="7">
        <f t="shared" si="25"/>
        <v>2210</v>
      </c>
    </row>
    <row r="162" spans="2:9" ht="15">
      <c r="B162" s="19">
        <v>43229</v>
      </c>
      <c r="C162" s="7">
        <f>C161-D161+20</f>
        <v>24</v>
      </c>
      <c r="D162" s="7">
        <v>15</v>
      </c>
      <c r="E162" s="7">
        <f t="shared" si="24"/>
        <v>49920</v>
      </c>
      <c r="F162" s="7">
        <f t="shared" si="26"/>
        <v>31200</v>
      </c>
      <c r="G162" s="7">
        <v>30490</v>
      </c>
      <c r="H162" s="7">
        <v>200</v>
      </c>
      <c r="I162" s="7">
        <f t="shared" si="25"/>
        <v>2720</v>
      </c>
    </row>
    <row r="163" spans="2:9" ht="15">
      <c r="B163" s="19">
        <v>43230</v>
      </c>
      <c r="C163" s="7">
        <f>C162-D162+25</f>
        <v>34</v>
      </c>
      <c r="D163" s="7">
        <v>8</v>
      </c>
      <c r="E163" s="7">
        <f t="shared" si="24"/>
        <v>70720</v>
      </c>
      <c r="F163" s="7">
        <f t="shared" si="26"/>
        <v>16640</v>
      </c>
      <c r="G163" s="7">
        <v>16640</v>
      </c>
      <c r="H163" s="7">
        <v>500</v>
      </c>
      <c r="I163" s="7">
        <f t="shared" si="25"/>
        <v>2220</v>
      </c>
    </row>
    <row r="164" spans="2:9" ht="15">
      <c r="B164" s="19">
        <v>43231</v>
      </c>
      <c r="C164" s="7">
        <f t="shared" si="27"/>
        <v>26</v>
      </c>
      <c r="D164" s="7">
        <v>4</v>
      </c>
      <c r="E164" s="7">
        <f t="shared" si="24"/>
        <v>54080</v>
      </c>
      <c r="F164" s="7">
        <f t="shared" si="26"/>
        <v>8320</v>
      </c>
      <c r="G164" s="7">
        <v>8320</v>
      </c>
      <c r="H164" s="7">
        <v>0</v>
      </c>
      <c r="I164" s="7">
        <f t="shared" si="25"/>
        <v>2220</v>
      </c>
    </row>
    <row r="165" spans="2:11" ht="15">
      <c r="B165" s="19">
        <v>43232</v>
      </c>
      <c r="C165" s="7">
        <f>C164-D164+18</f>
        <v>40</v>
      </c>
      <c r="D165" s="7">
        <v>17</v>
      </c>
      <c r="E165" s="7">
        <f t="shared" si="24"/>
        <v>83200</v>
      </c>
      <c r="F165" s="7">
        <f t="shared" si="26"/>
        <v>35360</v>
      </c>
      <c r="G165" s="7">
        <v>34660</v>
      </c>
      <c r="H165" s="7">
        <v>800</v>
      </c>
      <c r="I165" s="7">
        <f t="shared" si="25"/>
        <v>2120</v>
      </c>
      <c r="K165" s="20"/>
    </row>
    <row r="166" spans="2:9" ht="15">
      <c r="B166" s="19">
        <v>43233</v>
      </c>
      <c r="C166" s="7">
        <f>C165-D165+20</f>
        <v>43</v>
      </c>
      <c r="D166" s="7">
        <v>18</v>
      </c>
      <c r="E166" s="7">
        <f t="shared" si="24"/>
        <v>89440</v>
      </c>
      <c r="F166" s="7">
        <f t="shared" si="26"/>
        <v>37440</v>
      </c>
      <c r="G166" s="7">
        <v>37140</v>
      </c>
      <c r="H166" s="7">
        <v>300</v>
      </c>
      <c r="I166" s="7">
        <f t="shared" si="25"/>
        <v>2120</v>
      </c>
    </row>
    <row r="167" spans="2:9" ht="15">
      <c r="B167" s="19">
        <v>43234</v>
      </c>
      <c r="C167" s="7">
        <f>C166-D166+32</f>
        <v>57</v>
      </c>
      <c r="D167" s="7">
        <v>31</v>
      </c>
      <c r="E167" s="7">
        <f t="shared" si="24"/>
        <v>118560</v>
      </c>
      <c r="F167" s="7">
        <f t="shared" si="26"/>
        <v>64480</v>
      </c>
      <c r="G167" s="7">
        <v>63680</v>
      </c>
      <c r="H167" s="20">
        <v>800</v>
      </c>
      <c r="I167" s="7">
        <f>I166+F167-G167-H167</f>
        <v>2120</v>
      </c>
    </row>
    <row r="168" spans="2:9" ht="15">
      <c r="B168" s="19">
        <v>43235</v>
      </c>
      <c r="C168" s="7">
        <f t="shared" si="27"/>
        <v>26</v>
      </c>
      <c r="D168" s="7">
        <v>8</v>
      </c>
      <c r="E168" s="7">
        <f t="shared" si="24"/>
        <v>54080</v>
      </c>
      <c r="F168" s="7">
        <f t="shared" si="26"/>
        <v>16640</v>
      </c>
      <c r="G168" s="7">
        <v>16635</v>
      </c>
      <c r="H168" s="7">
        <v>0</v>
      </c>
      <c r="I168" s="7">
        <f>I167+F168-G168-H168</f>
        <v>2125</v>
      </c>
    </row>
    <row r="169" spans="2:9" ht="15">
      <c r="B169" s="19">
        <v>43236</v>
      </c>
      <c r="C169" s="7">
        <f t="shared" si="27"/>
        <v>18</v>
      </c>
      <c r="D169" s="7">
        <v>11</v>
      </c>
      <c r="E169" s="7">
        <f t="shared" si="24"/>
        <v>37440</v>
      </c>
      <c r="F169" s="7">
        <f>D169*20*104</f>
        <v>22880</v>
      </c>
      <c r="G169" s="7">
        <f>15100+7780</f>
        <v>22880</v>
      </c>
      <c r="H169" s="7">
        <v>0</v>
      </c>
      <c r="I169" s="7">
        <f>I168+F169-G169-H169</f>
        <v>2125</v>
      </c>
    </row>
    <row r="170" spans="2:9" ht="15">
      <c r="B170" s="19">
        <v>43237</v>
      </c>
      <c r="C170" s="7">
        <f t="shared" si="27"/>
        <v>7</v>
      </c>
      <c r="D170" s="7">
        <v>4</v>
      </c>
      <c r="E170" s="7">
        <f t="shared" si="24"/>
        <v>14560</v>
      </c>
      <c r="F170" s="7">
        <f t="shared" si="26"/>
        <v>8320</v>
      </c>
      <c r="G170" s="7">
        <v>7975</v>
      </c>
      <c r="H170" s="7">
        <v>0</v>
      </c>
      <c r="I170" s="7">
        <f>I169+F170-G170-H170</f>
        <v>2470</v>
      </c>
    </row>
    <row r="171" spans="2:9" ht="15">
      <c r="B171" s="19">
        <v>43238</v>
      </c>
      <c r="C171" s="7">
        <f t="shared" si="27"/>
        <v>3</v>
      </c>
      <c r="D171" s="7"/>
      <c r="E171" s="7">
        <f t="shared" si="24"/>
        <v>6240</v>
      </c>
      <c r="F171" s="7">
        <f t="shared" si="26"/>
        <v>0</v>
      </c>
      <c r="G171" s="7"/>
      <c r="H171" s="7"/>
      <c r="I171" s="7">
        <f>I170+F171-G171-H171</f>
        <v>2470</v>
      </c>
    </row>
    <row r="172" spans="2:9" ht="15">
      <c r="B172" s="13"/>
      <c r="C172" s="11"/>
      <c r="D172" s="11">
        <f>SUM(D159:D171)</f>
        <v>177</v>
      </c>
      <c r="E172" s="11"/>
      <c r="F172" s="11">
        <f>SUM(F157:F171)</f>
        <v>378560</v>
      </c>
      <c r="G172" s="11">
        <f>SUM(G159:G171)</f>
        <v>371690</v>
      </c>
      <c r="H172" s="11">
        <f>SUM(H159:H171)</f>
        <v>4400</v>
      </c>
      <c r="I172" s="13"/>
    </row>
    <row r="175" spans="2:9" ht="15">
      <c r="B175" s="152" t="s">
        <v>61</v>
      </c>
      <c r="C175" s="152"/>
      <c r="D175" s="152"/>
      <c r="E175" s="152"/>
      <c r="F175" s="152"/>
      <c r="G175" s="152"/>
      <c r="H175" s="152"/>
      <c r="I175" s="152"/>
    </row>
    <row r="176" spans="3:5" ht="15">
      <c r="C176" s="4"/>
      <c r="D176" s="4"/>
      <c r="E176" s="4"/>
    </row>
    <row r="177" spans="2:9" ht="15">
      <c r="B177" s="5" t="s">
        <v>0</v>
      </c>
      <c r="C177" s="5" t="s">
        <v>18</v>
      </c>
      <c r="D177" s="5" t="s">
        <v>16</v>
      </c>
      <c r="E177" s="5" t="s">
        <v>24</v>
      </c>
      <c r="F177" s="5" t="s">
        <v>1</v>
      </c>
      <c r="G177" s="5" t="s">
        <v>3</v>
      </c>
      <c r="H177" s="21" t="s">
        <v>6</v>
      </c>
      <c r="I177" s="5" t="s">
        <v>8</v>
      </c>
    </row>
    <row r="178" spans="2:9" ht="15">
      <c r="B178" s="5" t="s">
        <v>62</v>
      </c>
      <c r="C178" s="7">
        <v>3</v>
      </c>
      <c r="D178" s="7">
        <v>0</v>
      </c>
      <c r="E178" s="7">
        <f>C178*20*105</f>
        <v>6300</v>
      </c>
      <c r="F178" s="7">
        <f>D178*20*104</f>
        <v>0</v>
      </c>
      <c r="G178" s="7"/>
      <c r="H178" s="7"/>
      <c r="I178" s="7">
        <f>F178</f>
        <v>0</v>
      </c>
    </row>
    <row r="179" spans="2:9" ht="15">
      <c r="B179" s="19">
        <v>43238</v>
      </c>
      <c r="C179" s="7">
        <v>23</v>
      </c>
      <c r="D179" s="7">
        <v>0</v>
      </c>
      <c r="E179" s="7">
        <f>C179*20*105</f>
        <v>48300</v>
      </c>
      <c r="F179" s="7">
        <f>D179*20*105</f>
        <v>0</v>
      </c>
      <c r="H179" s="7"/>
      <c r="I179" s="7">
        <f>F179-G179-H179</f>
        <v>0</v>
      </c>
    </row>
    <row r="180" spans="2:9" ht="15">
      <c r="B180" s="19">
        <v>43239</v>
      </c>
      <c r="C180" s="7">
        <v>23</v>
      </c>
      <c r="D180" s="7">
        <v>14</v>
      </c>
      <c r="E180" s="7">
        <f aca="true" t="shared" si="28" ref="E180:E192">C180*20*105</f>
        <v>48300</v>
      </c>
      <c r="F180" s="7">
        <f aca="true" t="shared" si="29" ref="F180:F192">D180*20*105</f>
        <v>29400</v>
      </c>
      <c r="G180" s="7">
        <v>29400</v>
      </c>
      <c r="H180" s="7">
        <v>0</v>
      </c>
      <c r="I180" s="7">
        <f>I179+F180-G180-H180</f>
        <v>0</v>
      </c>
    </row>
    <row r="181" spans="2:9" ht="15">
      <c r="B181" s="19">
        <v>43240</v>
      </c>
      <c r="C181" s="7">
        <f>C180-D180+30</f>
        <v>39</v>
      </c>
      <c r="D181" s="7">
        <v>8</v>
      </c>
      <c r="E181" s="7">
        <f t="shared" si="28"/>
        <v>81900</v>
      </c>
      <c r="F181" s="7">
        <f t="shared" si="29"/>
        <v>16800</v>
      </c>
      <c r="G181" s="7">
        <v>16800</v>
      </c>
      <c r="H181" s="7">
        <v>0</v>
      </c>
      <c r="I181" s="7">
        <f aca="true" t="shared" si="30" ref="I181:I192">I180+F181-G181-H181</f>
        <v>0</v>
      </c>
    </row>
    <row r="182" spans="2:9" ht="15">
      <c r="B182" s="19">
        <v>43241</v>
      </c>
      <c r="C182" s="7">
        <f>C181-D181+19</f>
        <v>50</v>
      </c>
      <c r="D182" s="7">
        <v>34</v>
      </c>
      <c r="E182" s="7">
        <f t="shared" si="28"/>
        <v>105000</v>
      </c>
      <c r="F182" s="7">
        <f t="shared" si="29"/>
        <v>71400</v>
      </c>
      <c r="G182" s="20">
        <v>58800</v>
      </c>
      <c r="H182" s="7"/>
      <c r="I182" s="7">
        <f t="shared" si="30"/>
        <v>12600</v>
      </c>
    </row>
    <row r="183" spans="2:9" ht="15">
      <c r="B183" s="19">
        <v>43242</v>
      </c>
      <c r="C183" s="7">
        <f>C182-D182</f>
        <v>16</v>
      </c>
      <c r="D183" s="7">
        <v>8</v>
      </c>
      <c r="E183" s="7">
        <f t="shared" si="28"/>
        <v>33600</v>
      </c>
      <c r="F183" s="7">
        <f t="shared" si="29"/>
        <v>16800</v>
      </c>
      <c r="G183" s="7">
        <f>12600+3000</f>
        <v>15600</v>
      </c>
      <c r="H183" s="7"/>
      <c r="I183" s="7">
        <f t="shared" si="30"/>
        <v>13800</v>
      </c>
    </row>
    <row r="184" spans="2:9" ht="15">
      <c r="B184" s="19">
        <v>43243</v>
      </c>
      <c r="C184" s="7">
        <f>C183-D183</f>
        <v>8</v>
      </c>
      <c r="D184" s="7">
        <v>8</v>
      </c>
      <c r="E184" s="7">
        <f t="shared" si="28"/>
        <v>16800</v>
      </c>
      <c r="F184" s="7">
        <f t="shared" si="29"/>
        <v>16800</v>
      </c>
      <c r="G184" s="7">
        <v>16800</v>
      </c>
      <c r="H184" s="7"/>
      <c r="I184" s="7">
        <f t="shared" si="30"/>
        <v>13800</v>
      </c>
    </row>
    <row r="185" spans="2:9" ht="15">
      <c r="B185" s="19">
        <v>43244</v>
      </c>
      <c r="C185" s="7">
        <f>C184-D184+20</f>
        <v>20</v>
      </c>
      <c r="D185" s="7">
        <v>16</v>
      </c>
      <c r="E185" s="7">
        <f t="shared" si="28"/>
        <v>42000</v>
      </c>
      <c r="F185" s="7">
        <f t="shared" si="29"/>
        <v>33600</v>
      </c>
      <c r="G185" s="7">
        <v>12350</v>
      </c>
      <c r="H185" s="7">
        <v>100</v>
      </c>
      <c r="I185" s="7">
        <f t="shared" si="30"/>
        <v>34950</v>
      </c>
    </row>
    <row r="186" spans="2:9" ht="15">
      <c r="B186" s="19">
        <v>43245</v>
      </c>
      <c r="C186" s="7">
        <f>C185-D185+21</f>
        <v>25</v>
      </c>
      <c r="D186" s="7">
        <v>16</v>
      </c>
      <c r="E186" s="7">
        <f t="shared" si="28"/>
        <v>52500</v>
      </c>
      <c r="F186" s="7">
        <f t="shared" si="29"/>
        <v>33600</v>
      </c>
      <c r="G186" s="7">
        <f>33600</f>
        <v>33600</v>
      </c>
      <c r="H186" s="7"/>
      <c r="I186" s="7">
        <f t="shared" si="30"/>
        <v>34950</v>
      </c>
    </row>
    <row r="187" spans="2:9" ht="15">
      <c r="B187" s="19">
        <v>43246</v>
      </c>
      <c r="C187" s="7">
        <f>C186-D186</f>
        <v>9</v>
      </c>
      <c r="D187" s="7">
        <v>9</v>
      </c>
      <c r="E187" s="7">
        <f t="shared" si="28"/>
        <v>18900</v>
      </c>
      <c r="F187" s="7">
        <f t="shared" si="29"/>
        <v>18900</v>
      </c>
      <c r="G187" s="7">
        <v>18900</v>
      </c>
      <c r="H187" s="7"/>
      <c r="I187" s="7">
        <f t="shared" si="30"/>
        <v>34950</v>
      </c>
    </row>
    <row r="188" spans="2:9" ht="15">
      <c r="B188" s="19">
        <v>43247</v>
      </c>
      <c r="C188" s="7">
        <f>C187-D187+15</f>
        <v>15</v>
      </c>
      <c r="D188" s="7">
        <v>0</v>
      </c>
      <c r="E188" s="7">
        <f t="shared" si="28"/>
        <v>31500</v>
      </c>
      <c r="F188" s="7">
        <f t="shared" si="29"/>
        <v>0</v>
      </c>
      <c r="G188" s="7">
        <v>33500</v>
      </c>
      <c r="H188" s="20">
        <v>100</v>
      </c>
      <c r="I188" s="7">
        <f t="shared" si="30"/>
        <v>1350</v>
      </c>
    </row>
    <row r="189" spans="2:9" ht="15">
      <c r="B189" s="19">
        <v>43248</v>
      </c>
      <c r="C189" s="7">
        <f>C188-D188+15</f>
        <v>30</v>
      </c>
      <c r="D189" s="7">
        <v>25</v>
      </c>
      <c r="E189" s="7">
        <f t="shared" si="28"/>
        <v>63000</v>
      </c>
      <c r="F189" s="7">
        <f t="shared" si="29"/>
        <v>52500</v>
      </c>
      <c r="G189" s="7">
        <v>10000</v>
      </c>
      <c r="H189" s="7">
        <v>100</v>
      </c>
      <c r="I189" s="7">
        <f t="shared" si="30"/>
        <v>43750</v>
      </c>
    </row>
    <row r="190" spans="2:9" ht="15">
      <c r="B190" s="19">
        <v>43249</v>
      </c>
      <c r="C190" s="7">
        <f>C189-D189+16</f>
        <v>21</v>
      </c>
      <c r="D190" s="7">
        <v>7</v>
      </c>
      <c r="E190" s="7">
        <f t="shared" si="28"/>
        <v>44100</v>
      </c>
      <c r="F190" s="7">
        <f t="shared" si="29"/>
        <v>14700</v>
      </c>
      <c r="G190" s="7">
        <v>42400</v>
      </c>
      <c r="H190" s="7"/>
      <c r="I190" s="7">
        <f t="shared" si="30"/>
        <v>16050</v>
      </c>
    </row>
    <row r="191" spans="2:9" ht="15">
      <c r="B191" s="19">
        <v>43250</v>
      </c>
      <c r="C191" s="7">
        <f>C190-D190</f>
        <v>14</v>
      </c>
      <c r="D191" s="7"/>
      <c r="E191" s="7">
        <f t="shared" si="28"/>
        <v>29400</v>
      </c>
      <c r="F191" s="7">
        <f t="shared" si="29"/>
        <v>0</v>
      </c>
      <c r="G191" s="7">
        <v>14700</v>
      </c>
      <c r="H191" s="7"/>
      <c r="I191" s="7">
        <f t="shared" si="30"/>
        <v>1350</v>
      </c>
    </row>
    <row r="192" spans="2:9" ht="15">
      <c r="B192" s="19">
        <v>43251</v>
      </c>
      <c r="C192" s="7">
        <f>C191-D191</f>
        <v>14</v>
      </c>
      <c r="D192" s="7"/>
      <c r="E192" s="7">
        <f t="shared" si="28"/>
        <v>29400</v>
      </c>
      <c r="F192" s="7">
        <f t="shared" si="29"/>
        <v>0</v>
      </c>
      <c r="G192" s="7"/>
      <c r="H192" s="7"/>
      <c r="I192" s="7">
        <f t="shared" si="30"/>
        <v>1350</v>
      </c>
    </row>
    <row r="193" spans="2:9" ht="15">
      <c r="B193" s="13"/>
      <c r="C193" s="11"/>
      <c r="D193" s="11">
        <f>SUM(D179:D192)</f>
        <v>145</v>
      </c>
      <c r="E193" s="11"/>
      <c r="F193" s="11">
        <f>SUM(F179:F192)</f>
        <v>304500</v>
      </c>
      <c r="G193" s="11">
        <f>SUM(G179:G192)</f>
        <v>302850</v>
      </c>
      <c r="H193" s="11">
        <f>SUM(H179:H192)</f>
        <v>300</v>
      </c>
      <c r="I193" s="13"/>
    </row>
    <row r="198" spans="2:9" ht="15">
      <c r="B198" s="152" t="s">
        <v>65</v>
      </c>
      <c r="C198" s="152"/>
      <c r="D198" s="152"/>
      <c r="E198" s="152"/>
      <c r="F198" s="152"/>
      <c r="G198" s="152"/>
      <c r="H198" s="152"/>
      <c r="I198" s="152"/>
    </row>
    <row r="199" spans="3:5" ht="15">
      <c r="C199" s="4"/>
      <c r="D199" s="4"/>
      <c r="E199" s="4"/>
    </row>
    <row r="200" spans="2:9" ht="15">
      <c r="B200" s="5" t="s">
        <v>0</v>
      </c>
      <c r="C200" s="5" t="s">
        <v>18</v>
      </c>
      <c r="D200" s="5" t="s">
        <v>16</v>
      </c>
      <c r="E200" s="5" t="s">
        <v>24</v>
      </c>
      <c r="F200" s="5" t="s">
        <v>1</v>
      </c>
      <c r="G200" s="5" t="s">
        <v>3</v>
      </c>
      <c r="H200" s="21" t="s">
        <v>6</v>
      </c>
      <c r="I200" s="5" t="s">
        <v>8</v>
      </c>
    </row>
    <row r="201" spans="2:9" ht="15">
      <c r="B201" s="5" t="s">
        <v>66</v>
      </c>
      <c r="C201" s="7">
        <v>14</v>
      </c>
      <c r="D201" s="7"/>
      <c r="E201" s="7">
        <f>C201*20*105</f>
        <v>29400</v>
      </c>
      <c r="F201" s="7">
        <f>D201*20*104</f>
        <v>0</v>
      </c>
      <c r="G201" s="7"/>
      <c r="H201" s="7"/>
      <c r="I201" s="7">
        <f>F201</f>
        <v>0</v>
      </c>
    </row>
    <row r="202" spans="2:11" ht="15">
      <c r="B202" s="19">
        <v>43250</v>
      </c>
      <c r="C202" s="7">
        <f>C201+14</f>
        <v>28</v>
      </c>
      <c r="D202" s="7">
        <v>11</v>
      </c>
      <c r="E202" s="7">
        <f>C202*20*105</f>
        <v>58800</v>
      </c>
      <c r="F202" s="7">
        <f>D202*20*105</f>
        <v>23100</v>
      </c>
      <c r="H202" s="7"/>
      <c r="I202" s="7">
        <f>F202-G202-H202</f>
        <v>23100</v>
      </c>
      <c r="J202">
        <v>15</v>
      </c>
      <c r="K202">
        <v>4000</v>
      </c>
    </row>
    <row r="203" spans="2:9" ht="15">
      <c r="B203" s="19">
        <v>43251</v>
      </c>
      <c r="C203" s="7">
        <f>C202-D202</f>
        <v>17</v>
      </c>
      <c r="D203" s="7">
        <v>15</v>
      </c>
      <c r="E203" s="7">
        <f aca="true" t="shared" si="31" ref="E203:E214">C203*20*105</f>
        <v>35700</v>
      </c>
      <c r="F203" s="7">
        <f aca="true" t="shared" si="32" ref="F203:F214">D203*20*105</f>
        <v>31500</v>
      </c>
      <c r="G203" s="7">
        <v>23100</v>
      </c>
      <c r="H203" s="7"/>
      <c r="I203" s="7">
        <f>I202+F203-G203-H203</f>
        <v>31500</v>
      </c>
    </row>
    <row r="204" spans="2:9" ht="15">
      <c r="B204" s="19">
        <v>43252</v>
      </c>
      <c r="C204" s="7">
        <f>C203-D203+30</f>
        <v>32</v>
      </c>
      <c r="D204" s="7">
        <v>14</v>
      </c>
      <c r="E204" s="7">
        <f t="shared" si="31"/>
        <v>67200</v>
      </c>
      <c r="F204" s="7">
        <f t="shared" si="32"/>
        <v>29400</v>
      </c>
      <c r="G204" s="7">
        <v>31500</v>
      </c>
      <c r="H204" s="7"/>
      <c r="I204" s="7">
        <f aca="true" t="shared" si="33" ref="I204:I214">I203+F204-G204-H204</f>
        <v>29400</v>
      </c>
    </row>
    <row r="205" spans="2:9" ht="15">
      <c r="B205" s="19">
        <v>43253</v>
      </c>
      <c r="C205" s="7">
        <f>C204-D204+15</f>
        <v>33</v>
      </c>
      <c r="D205" s="7">
        <v>22</v>
      </c>
      <c r="E205" s="7">
        <f t="shared" si="31"/>
        <v>69300</v>
      </c>
      <c r="F205" s="7">
        <f t="shared" si="32"/>
        <v>46200</v>
      </c>
      <c r="G205" s="20">
        <v>29400</v>
      </c>
      <c r="H205" s="7"/>
      <c r="I205" s="7">
        <f t="shared" si="33"/>
        <v>46200</v>
      </c>
    </row>
    <row r="206" spans="2:10" ht="15">
      <c r="B206" s="19">
        <v>43254</v>
      </c>
      <c r="C206" s="7">
        <f>C205-D205+25</f>
        <v>36</v>
      </c>
      <c r="D206" s="7">
        <v>12</v>
      </c>
      <c r="E206" s="7">
        <f t="shared" si="31"/>
        <v>75600</v>
      </c>
      <c r="F206" s="7">
        <f t="shared" si="32"/>
        <v>25200</v>
      </c>
      <c r="G206" s="7">
        <v>46200</v>
      </c>
      <c r="H206" s="7"/>
      <c r="I206" s="7">
        <f t="shared" si="33"/>
        <v>25200</v>
      </c>
      <c r="J206">
        <v>30</v>
      </c>
    </row>
    <row r="207" spans="2:9" ht="15">
      <c r="B207" s="19">
        <v>43255</v>
      </c>
      <c r="C207" s="7">
        <f>C206-D206+5</f>
        <v>29</v>
      </c>
      <c r="D207" s="7">
        <v>25</v>
      </c>
      <c r="E207" s="7">
        <f t="shared" si="31"/>
        <v>60900</v>
      </c>
      <c r="F207" s="7">
        <f t="shared" si="32"/>
        <v>52500</v>
      </c>
      <c r="G207" s="7"/>
      <c r="H207" s="7">
        <f>4000+100</f>
        <v>4100</v>
      </c>
      <c r="I207" s="7">
        <f t="shared" si="33"/>
        <v>73600</v>
      </c>
    </row>
    <row r="208" spans="2:9" ht="15">
      <c r="B208" s="19">
        <v>43256</v>
      </c>
      <c r="C208" s="7">
        <f aca="true" t="shared" si="34" ref="C208:C214">C207-D207</f>
        <v>4</v>
      </c>
      <c r="D208" s="7">
        <v>6</v>
      </c>
      <c r="E208" s="7">
        <f t="shared" si="31"/>
        <v>8400</v>
      </c>
      <c r="F208" s="7">
        <f t="shared" si="32"/>
        <v>12600</v>
      </c>
      <c r="G208" s="7">
        <f>21100+45790</f>
        <v>66890</v>
      </c>
      <c r="H208" s="7"/>
      <c r="I208" s="7">
        <f t="shared" si="33"/>
        <v>19310</v>
      </c>
    </row>
    <row r="209" spans="2:9" ht="15">
      <c r="B209" s="19">
        <v>43257</v>
      </c>
      <c r="C209" s="7">
        <f>C208-D208+20</f>
        <v>18</v>
      </c>
      <c r="D209" s="7">
        <v>7</v>
      </c>
      <c r="E209" s="7">
        <f t="shared" si="31"/>
        <v>37800</v>
      </c>
      <c r="F209" s="7">
        <f t="shared" si="32"/>
        <v>14700</v>
      </c>
      <c r="G209" s="7">
        <v>6710</v>
      </c>
      <c r="H209" s="7"/>
      <c r="I209" s="7">
        <f t="shared" si="33"/>
        <v>27300</v>
      </c>
    </row>
    <row r="210" spans="2:10" ht="15">
      <c r="B210" s="19">
        <v>43258</v>
      </c>
      <c r="C210" s="7">
        <f>C209-D209+31</f>
        <v>42</v>
      </c>
      <c r="D210" s="7">
        <v>5</v>
      </c>
      <c r="E210" s="7">
        <f t="shared" si="31"/>
        <v>88200</v>
      </c>
      <c r="F210" s="7">
        <f t="shared" si="32"/>
        <v>10500</v>
      </c>
      <c r="G210" s="7">
        <f>12600+14700</f>
        <v>27300</v>
      </c>
      <c r="H210" s="7"/>
      <c r="I210" s="7">
        <f t="shared" si="33"/>
        <v>10500</v>
      </c>
      <c r="J210">
        <v>11</v>
      </c>
    </row>
    <row r="211" spans="2:9" ht="15">
      <c r="B211" s="19">
        <v>43259</v>
      </c>
      <c r="C211" s="7">
        <f t="shared" si="34"/>
        <v>37</v>
      </c>
      <c r="D211" s="7">
        <v>13</v>
      </c>
      <c r="E211" s="7">
        <f t="shared" si="31"/>
        <v>77700</v>
      </c>
      <c r="F211" s="7">
        <f t="shared" si="32"/>
        <v>27300</v>
      </c>
      <c r="G211" s="7">
        <f>11100</f>
        <v>11100</v>
      </c>
      <c r="I211" s="7">
        <f t="shared" si="33"/>
        <v>26700</v>
      </c>
    </row>
    <row r="212" spans="2:9" ht="15">
      <c r="B212" s="19">
        <v>43260</v>
      </c>
      <c r="C212" s="7">
        <f t="shared" si="34"/>
        <v>24</v>
      </c>
      <c r="D212" s="7">
        <v>15</v>
      </c>
      <c r="E212" s="7">
        <f t="shared" si="31"/>
        <v>50400</v>
      </c>
      <c r="F212" s="7">
        <f>D212*20*105</f>
        <v>31500</v>
      </c>
      <c r="G212" s="7">
        <f>9000</f>
        <v>9000</v>
      </c>
      <c r="H212" s="7"/>
      <c r="I212" s="7">
        <f t="shared" si="33"/>
        <v>49200</v>
      </c>
    </row>
    <row r="213" spans="2:9" ht="15">
      <c r="B213" s="19">
        <v>43261</v>
      </c>
      <c r="C213" s="7">
        <f t="shared" si="34"/>
        <v>9</v>
      </c>
      <c r="D213" s="7">
        <v>6</v>
      </c>
      <c r="E213" s="7">
        <f t="shared" si="31"/>
        <v>18900</v>
      </c>
      <c r="F213" s="7">
        <f>D213*20*105</f>
        <v>12600</v>
      </c>
      <c r="G213" s="7">
        <v>18300</v>
      </c>
      <c r="H213" s="7"/>
      <c r="I213" s="7">
        <f t="shared" si="33"/>
        <v>43500</v>
      </c>
    </row>
    <row r="214" spans="2:9" ht="15">
      <c r="B214" s="19">
        <v>43262</v>
      </c>
      <c r="C214" s="7">
        <f t="shared" si="34"/>
        <v>3</v>
      </c>
      <c r="D214" s="7">
        <v>3</v>
      </c>
      <c r="E214" s="7">
        <f t="shared" si="31"/>
        <v>6300</v>
      </c>
      <c r="F214" s="7">
        <f t="shared" si="32"/>
        <v>6300</v>
      </c>
      <c r="G214" s="7">
        <f>23040+8699+9985</f>
        <v>41724</v>
      </c>
      <c r="H214" s="7">
        <v>6075</v>
      </c>
      <c r="I214" s="7">
        <f t="shared" si="33"/>
        <v>2001</v>
      </c>
    </row>
    <row r="215" spans="2:9" ht="15">
      <c r="B215" s="13"/>
      <c r="C215" s="11"/>
      <c r="D215" s="11">
        <f>SUM(D202:D214)</f>
        <v>154</v>
      </c>
      <c r="E215" s="11"/>
      <c r="F215" s="11">
        <f>SUM(F202:F214)</f>
        <v>323400</v>
      </c>
      <c r="G215" s="11">
        <f>SUM(G202:G214)</f>
        <v>311224</v>
      </c>
      <c r="H215" s="11">
        <f>SUM(H202:H214)</f>
        <v>10175</v>
      </c>
      <c r="I215" s="13"/>
    </row>
    <row r="217" spans="2:9" ht="15">
      <c r="B217" s="152" t="s">
        <v>68</v>
      </c>
      <c r="C217" s="152"/>
      <c r="D217" s="152"/>
      <c r="E217" s="152"/>
      <c r="F217" s="152"/>
      <c r="G217" s="152"/>
      <c r="H217" s="152"/>
      <c r="I217" s="152"/>
    </row>
    <row r="218" spans="3:5" ht="15">
      <c r="C218" s="4"/>
      <c r="D218" s="4"/>
      <c r="E218" s="4"/>
    </row>
    <row r="219" spans="2:9" ht="15">
      <c r="B219" s="5" t="s">
        <v>0</v>
      </c>
      <c r="C219" s="5" t="s">
        <v>18</v>
      </c>
      <c r="D219" s="5" t="s">
        <v>16</v>
      </c>
      <c r="E219" s="5" t="s">
        <v>24</v>
      </c>
      <c r="F219" s="5" t="s">
        <v>1</v>
      </c>
      <c r="G219" s="5" t="s">
        <v>3</v>
      </c>
      <c r="H219" s="21" t="s">
        <v>6</v>
      </c>
      <c r="I219" s="5" t="s">
        <v>8</v>
      </c>
    </row>
    <row r="220" spans="2:9" ht="15">
      <c r="B220" s="5" t="s">
        <v>66</v>
      </c>
      <c r="C220" s="7">
        <v>0</v>
      </c>
      <c r="D220" s="7"/>
      <c r="E220" s="7">
        <f>C220*20*106</f>
        <v>0</v>
      </c>
      <c r="F220" s="7">
        <f>D220*20*106</f>
        <v>0</v>
      </c>
      <c r="G220" s="7"/>
      <c r="H220" s="7"/>
      <c r="I220" s="7">
        <f>F220</f>
        <v>0</v>
      </c>
    </row>
    <row r="221" spans="2:9" ht="15">
      <c r="B221" s="19">
        <v>43263</v>
      </c>
      <c r="C221" s="7">
        <v>40</v>
      </c>
      <c r="D221" s="7">
        <v>0</v>
      </c>
      <c r="E221" s="7">
        <f aca="true" t="shared" si="35" ref="E221:F226">C221*20*105.5</f>
        <v>84400</v>
      </c>
      <c r="F221" s="7">
        <f t="shared" si="35"/>
        <v>0</v>
      </c>
      <c r="H221" s="7"/>
      <c r="I221" s="7">
        <f>F221-G221-H221</f>
        <v>0</v>
      </c>
    </row>
    <row r="222" spans="2:9" ht="15">
      <c r="B222" s="19">
        <v>43264</v>
      </c>
      <c r="C222" s="7">
        <f>C221-D221</f>
        <v>40</v>
      </c>
      <c r="D222" s="7">
        <v>8</v>
      </c>
      <c r="E222" s="7">
        <f t="shared" si="35"/>
        <v>84400</v>
      </c>
      <c r="F222" s="7">
        <f t="shared" si="35"/>
        <v>16880</v>
      </c>
      <c r="G222" s="7"/>
      <c r="H222" s="7"/>
      <c r="I222" s="7">
        <f>I221+F222-G222-H222</f>
        <v>16880</v>
      </c>
    </row>
    <row r="223" spans="2:9" ht="15">
      <c r="B223" s="19">
        <v>43265</v>
      </c>
      <c r="C223" s="7">
        <f>C222-D222+10</f>
        <v>42</v>
      </c>
      <c r="D223" s="7">
        <v>10</v>
      </c>
      <c r="E223" s="7">
        <f t="shared" si="35"/>
        <v>88620</v>
      </c>
      <c r="F223" s="7">
        <f t="shared" si="35"/>
        <v>21100</v>
      </c>
      <c r="G223" s="7">
        <v>16880</v>
      </c>
      <c r="H223" s="7"/>
      <c r="I223" s="7">
        <f aca="true" t="shared" si="36" ref="I223:I233">I222+F223-G223-H223</f>
        <v>21100</v>
      </c>
    </row>
    <row r="224" spans="2:9" ht="15">
      <c r="B224" s="19">
        <v>43266</v>
      </c>
      <c r="C224" s="7">
        <f aca="true" t="shared" si="37" ref="C224:C233">C223-D223</f>
        <v>32</v>
      </c>
      <c r="D224" s="7">
        <v>19</v>
      </c>
      <c r="E224" s="7">
        <f t="shared" si="35"/>
        <v>67520</v>
      </c>
      <c r="F224" s="7">
        <f t="shared" si="35"/>
        <v>40090</v>
      </c>
      <c r="G224" s="20">
        <f>7427+13673</f>
        <v>21100</v>
      </c>
      <c r="H224" s="7"/>
      <c r="I224" s="7">
        <f t="shared" si="36"/>
        <v>40090</v>
      </c>
    </row>
    <row r="225" spans="2:9" ht="15">
      <c r="B225" s="19">
        <v>43267</v>
      </c>
      <c r="C225" s="7">
        <f t="shared" si="37"/>
        <v>13</v>
      </c>
      <c r="D225" s="7">
        <v>13</v>
      </c>
      <c r="E225" s="7">
        <f t="shared" si="35"/>
        <v>27430</v>
      </c>
      <c r="F225" s="7">
        <f t="shared" si="35"/>
        <v>27430</v>
      </c>
      <c r="G225" s="7">
        <f>35059</f>
        <v>35059</v>
      </c>
      <c r="H225" s="7"/>
      <c r="I225" s="7">
        <f t="shared" si="36"/>
        <v>32461</v>
      </c>
    </row>
    <row r="226" spans="2:9" ht="15">
      <c r="B226" s="19">
        <v>43268</v>
      </c>
      <c r="C226" s="7">
        <f>C225-D225+32</f>
        <v>32</v>
      </c>
      <c r="D226" s="7">
        <v>20</v>
      </c>
      <c r="E226" s="7">
        <f t="shared" si="35"/>
        <v>67520</v>
      </c>
      <c r="F226" s="7">
        <f t="shared" si="35"/>
        <v>42200</v>
      </c>
      <c r="G226" s="7">
        <f>5031+27430</f>
        <v>32461</v>
      </c>
      <c r="H226" s="7"/>
      <c r="I226" s="7">
        <f t="shared" si="36"/>
        <v>42200</v>
      </c>
    </row>
    <row r="227" spans="2:9" ht="15">
      <c r="B227" s="19">
        <v>43269</v>
      </c>
      <c r="C227" s="7">
        <f>C226-D226+20</f>
        <v>32</v>
      </c>
      <c r="D227" s="7">
        <v>15</v>
      </c>
      <c r="E227" s="7">
        <f>C227*20*107</f>
        <v>68480</v>
      </c>
      <c r="F227" s="7">
        <f aca="true" t="shared" si="38" ref="F227:F233">D227*20*106</f>
        <v>31800</v>
      </c>
      <c r="G227" s="7">
        <f>34000+8200</f>
        <v>42200</v>
      </c>
      <c r="H227" s="7"/>
      <c r="I227" s="7">
        <f t="shared" si="36"/>
        <v>31800</v>
      </c>
    </row>
    <row r="228" spans="2:10" ht="15">
      <c r="B228" s="19">
        <v>43270</v>
      </c>
      <c r="C228" s="7">
        <f t="shared" si="37"/>
        <v>17</v>
      </c>
      <c r="D228" s="7">
        <v>7</v>
      </c>
      <c r="E228" s="7">
        <f aca="true" t="shared" si="39" ref="E228:E233">C228*20*107</f>
        <v>36380</v>
      </c>
      <c r="F228" s="7">
        <f t="shared" si="38"/>
        <v>14840</v>
      </c>
      <c r="G228" s="7">
        <v>14840</v>
      </c>
      <c r="H228" s="7"/>
      <c r="I228" s="7">
        <f t="shared" si="36"/>
        <v>31800</v>
      </c>
      <c r="J228" s="20"/>
    </row>
    <row r="229" spans="2:10" ht="15">
      <c r="B229" s="19">
        <v>43271</v>
      </c>
      <c r="C229" s="7">
        <f>C228-D228+10+8</f>
        <v>28</v>
      </c>
      <c r="D229" s="7">
        <v>16</v>
      </c>
      <c r="E229" s="7">
        <f t="shared" si="39"/>
        <v>59920</v>
      </c>
      <c r="F229" s="7">
        <f t="shared" si="38"/>
        <v>33920</v>
      </c>
      <c r="G229" s="7">
        <f>11000+5960</f>
        <v>16960</v>
      </c>
      <c r="H229" s="7"/>
      <c r="I229" s="7">
        <f t="shared" si="36"/>
        <v>48760</v>
      </c>
      <c r="J229" s="20"/>
    </row>
    <row r="230" spans="2:10" ht="15">
      <c r="B230" s="19">
        <v>43272</v>
      </c>
      <c r="C230" s="7">
        <f>C229-D229+15</f>
        <v>27</v>
      </c>
      <c r="D230" s="7">
        <v>12</v>
      </c>
      <c r="E230" s="7">
        <f t="shared" si="39"/>
        <v>57780</v>
      </c>
      <c r="F230" s="7">
        <f t="shared" si="38"/>
        <v>25440</v>
      </c>
      <c r="G230" s="7">
        <f>14840+18900+7000</f>
        <v>40740</v>
      </c>
      <c r="H230" s="20">
        <v>2100</v>
      </c>
      <c r="I230" s="7">
        <f t="shared" si="36"/>
        <v>31360</v>
      </c>
      <c r="J230" s="20"/>
    </row>
    <row r="231" spans="2:9" ht="15">
      <c r="B231" s="19">
        <v>43273</v>
      </c>
      <c r="C231" s="7">
        <f t="shared" si="37"/>
        <v>15</v>
      </c>
      <c r="D231" s="7">
        <v>13</v>
      </c>
      <c r="E231" s="7">
        <f t="shared" si="39"/>
        <v>32100</v>
      </c>
      <c r="F231" s="7">
        <f t="shared" si="38"/>
        <v>27560</v>
      </c>
      <c r="G231" s="7">
        <v>20751</v>
      </c>
      <c r="H231" s="7"/>
      <c r="I231" s="7">
        <f t="shared" si="36"/>
        <v>38169</v>
      </c>
    </row>
    <row r="232" spans="2:9" ht="15">
      <c r="B232" s="19">
        <v>43274</v>
      </c>
      <c r="C232" s="7">
        <f t="shared" si="37"/>
        <v>2</v>
      </c>
      <c r="D232" s="7">
        <v>2</v>
      </c>
      <c r="E232" s="7">
        <f t="shared" si="39"/>
        <v>4280</v>
      </c>
      <c r="F232" s="7">
        <f t="shared" si="38"/>
        <v>4240</v>
      </c>
      <c r="G232" s="7">
        <f>10700+17120</f>
        <v>27820</v>
      </c>
      <c r="H232" s="7"/>
      <c r="I232" s="7">
        <f t="shared" si="36"/>
        <v>14589</v>
      </c>
    </row>
    <row r="233" spans="2:9" ht="15">
      <c r="B233" s="19">
        <v>43275</v>
      </c>
      <c r="C233" s="7">
        <f t="shared" si="37"/>
        <v>0</v>
      </c>
      <c r="D233" s="7"/>
      <c r="E233" s="7">
        <f t="shared" si="39"/>
        <v>0</v>
      </c>
      <c r="F233" s="7">
        <f t="shared" si="38"/>
        <v>0</v>
      </c>
      <c r="G233" s="7">
        <f>7580+7400</f>
        <v>14980</v>
      </c>
      <c r="H233" s="7"/>
      <c r="I233" s="7">
        <f t="shared" si="36"/>
        <v>-391</v>
      </c>
    </row>
    <row r="234" spans="2:9" ht="15">
      <c r="B234" s="13"/>
      <c r="C234" s="11"/>
      <c r="D234" s="11">
        <f>SUM(D221:D233)</f>
        <v>135</v>
      </c>
      <c r="E234" s="11"/>
      <c r="F234" s="11">
        <f>SUM(F221:F233)</f>
        <v>285500</v>
      </c>
      <c r="G234" s="11">
        <f>SUM(G221:G233)</f>
        <v>283791</v>
      </c>
      <c r="H234" s="11">
        <f>SUM(H221:H233)</f>
        <v>2100</v>
      </c>
      <c r="I234" s="13"/>
    </row>
    <row r="238" ht="15">
      <c r="D238">
        <f>20*D234</f>
        <v>2700</v>
      </c>
    </row>
  </sheetData>
  <sheetProtection/>
  <mergeCells count="9">
    <mergeCell ref="B217:I217"/>
    <mergeCell ref="B198:I198"/>
    <mergeCell ref="B175:I175"/>
    <mergeCell ref="B154:I154"/>
    <mergeCell ref="C39:H39"/>
    <mergeCell ref="B40:I40"/>
    <mergeCell ref="A73:H73"/>
    <mergeCell ref="B106:I106"/>
    <mergeCell ref="B131:I131"/>
  </mergeCells>
  <printOptions/>
  <pageMargins left="0.7" right="0.7" top="0.75" bottom="0.75" header="0.3" footer="0.3"/>
  <pageSetup fitToHeight="1" fitToWidth="1" horizontalDpi="600" verticalDpi="600" orientation="portrait" scale="19" r:id="rId1"/>
  <ignoredErrors>
    <ignoredError sqref="C23 C26 C52 C139 C148 C162 C165 C185 C188 C204:C205 C209 C223 C226" formula="1"/>
    <ignoredError sqref="D1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Laptop</dc:creator>
  <cp:keywords/>
  <dc:description/>
  <cp:lastModifiedBy>user</cp:lastModifiedBy>
  <cp:lastPrinted>2019-02-09T11:13:59Z</cp:lastPrinted>
  <dcterms:created xsi:type="dcterms:W3CDTF">2017-02-24T05:34:40Z</dcterms:created>
  <dcterms:modified xsi:type="dcterms:W3CDTF">2019-04-27T12:30:15Z</dcterms:modified>
  <cp:category/>
  <cp:version/>
  <cp:contentType/>
  <cp:contentStatus/>
</cp:coreProperties>
</file>